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00.xml" ContentType="application/vnd.openxmlformats-officedocument.spreadsheetml.table+xml"/>
  <Override PartName="/xl/tables/table101.xml" ContentType="application/vnd.openxmlformats-officedocument.spreadsheetml.table+xml"/>
  <Override PartName="/xl/tables/table102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24" tabRatio="698" firstSheet="2" activeTab="10"/>
  </bookViews>
  <sheets>
    <sheet name="Orientações" sheetId="1" state="hidden" r:id="rId1"/>
    <sheet name="Servente" sheetId="2" state="hidden" r:id="rId2"/>
    <sheet name="Tradutor-Intérprete" sheetId="14" r:id="rId3"/>
    <sheet name="Transcritor Braille" sheetId="11" r:id="rId4"/>
    <sheet name="Cuidador" sheetId="15" r:id="rId5"/>
    <sheet name="Audiodescritor" sheetId="16" r:id="rId6"/>
    <sheet name="Alfabetizador" sheetId="20" r:id="rId7"/>
    <sheet name="Psicopedagogo" sheetId="18" r:id="rId8"/>
    <sheet name="Uniformes" sheetId="12" r:id="rId9"/>
    <sheet name="Diárias" sheetId="19" r:id="rId10"/>
    <sheet name="RESUMO" sheetId="13" r:id="rId11"/>
  </sheets>
  <externalReferences>
    <externalReference r:id="rId12"/>
  </externalReference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<sst xmlns="http://schemas.openxmlformats.org/spreadsheetml/2006/main" count="1937" uniqueCount="305">
  <si>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</si>
  <si>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</si>
  <si>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</si>
  <si>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</si>
  <si>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</si>
  <si>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</si>
  <si>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</si>
  <si>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</si>
  <si>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</si>
  <si>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</si>
  <si>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</si>
  <si>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</si>
  <si>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</si>
  <si>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</si>
  <si>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</si>
  <si>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</si>
  <si>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</si>
  <si>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</si>
  <si>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</si>
  <si>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</si>
  <si>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</si>
  <si>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</si>
  <si>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</si>
  <si>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</si>
  <si>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</si>
  <si>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</si>
  <si>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</si>
  <si>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</si>
  <si>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</si>
  <si>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</si>
  <si>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</si>
  <si>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</si>
  <si>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</si>
  <si>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</si>
  <si>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</si>
  <si>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</si>
  <si>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</si>
  <si>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</si>
  <si>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</si>
  <si>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</si>
  <si>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</si>
  <si>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</si>
  <si>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</si>
  <si>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</si>
  <si>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</si>
  <si>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</si>
  <si>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</si>
  <si>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</si>
  <si>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</si>
  <si>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</si>
  <si>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</si>
  <si>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</si>
  <si>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</si>
  <si>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</si>
  <si>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</si>
  <si>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</si>
  <si>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</si>
  <si>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</si>
  <si>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</si>
  <si>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</si>
  <si>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</si>
  <si>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</si>
  <si>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</si>
  <si>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</si>
  <si>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</si>
  <si>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</si>
  <si>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</si>
  <si>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</si>
  <si>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</si>
  <si>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</si>
  <si>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</si>
  <si>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</si>
  <si>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</si>
  <si>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</si>
  <si>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</si>
  <si>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</si>
  <si>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</si>
  <si>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</si>
  <si>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</si>
  <si>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</si>
  <si>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</si>
  <si>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</si>
  <si>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</si>
  <si>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</si>
  <si>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</si>
  <si>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</si>
  <si>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</si>
  <si>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</si>
  <si>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</si>
  <si>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</si>
  <si>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</si>
  <si>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</si>
  <si>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</si>
  <si>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</si>
  <si>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</si>
  <si>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</si>
  <si>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</si>
  <si>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</si>
  <si>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</si>
  <si>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</si>
  <si>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</si>
  <si>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</si>
  <si>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</si>
  <si>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</si>
  <si>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</si>
  <si>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</si>
  <si>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</si>
  <si>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</si>
  <si>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</si>
  <si>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</si>
  <si>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</si>
  <si>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</si>
  <si>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</si>
  <si>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</si>
  <si>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</si>
  <si>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</si>
  <si>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</si>
  <si>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</si>
  <si>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</si>
  <si>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</si>
  <si>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</si>
  <si>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</si>
  <si>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</si>
  <si>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</si>
  <si>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</si>
  <si>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</si>
  <si>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</si>
  <si>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</si>
  <si>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</si>
  <si>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</si>
  <si>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</si>
  <si>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</si>
  <si>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</si>
  <si>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</si>
  <si>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</si>
  <si>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</si>
  <si>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</si>
  <si>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</si>
  <si>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</si>
  <si>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</si>
  <si>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</si>
  <si>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</si>
  <si>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</si>
  <si>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</si>
  <si>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</si>
  <si>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</si>
  <si>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</si>
  <si>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</si>
  <si>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</si>
  <si>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</si>
  <si>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</si>
  <si>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</si>
  <si>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</si>
  <si>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</si>
  <si>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</si>
  <si>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</si>
  <si>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</si>
  <si>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</si>
  <si>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</si>
  <si>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</si>
  <si>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</si>
  <si>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</si>
  <si>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</si>
  <si>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</si>
  <si>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</si>
  <si>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</si>
  <si>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</si>
  <si>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</si>
  <si>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</si>
  <si>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</si>
  <si>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</si>
  <si>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</si>
  <si>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</si>
  <si>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</si>
  <si>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</si>
  <si>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</si>
  <si>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</si>
  <si>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</si>
  <si>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23381.001364.2023-70</t>
    </r>
  </si>
  <si>
    <t>Licitação n°</t>
  </si>
  <si>
    <t>008/2023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</si>
  <si>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</si>
  <si>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</si>
  <si>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</si>
  <si>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</si>
  <si>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</si>
  <si>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</si>
  <si>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PB000071/2023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</si>
  <si>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</si>
  <si>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</si>
  <si>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</si>
  <si>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</si>
  <si>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</si>
  <si>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</si>
  <si>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Tradutor-Intérprete de Libras</t>
  </si>
  <si>
    <t>30 horas</t>
  </si>
  <si>
    <t>MTE</t>
  </si>
  <si>
    <t>2614-25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</si>
  <si>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</si>
  <si>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</si>
  <si>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</si>
  <si>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</si>
  <si>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</si>
  <si>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</si>
  <si>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</si>
  <si>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</si>
  <si>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</si>
  <si>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</si>
  <si>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</si>
  <si>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</si>
  <si>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</si>
  <si>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</si>
  <si>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</si>
  <si>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</si>
  <si>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</si>
  <si>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</si>
  <si>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</si>
  <si>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</si>
  <si>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</si>
  <si>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</si>
  <si>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</si>
  <si>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</si>
  <si>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</si>
  <si>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</si>
  <si>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</si>
  <si>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</si>
  <si>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</si>
  <si>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</si>
  <si>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</si>
  <si>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</si>
  <si>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</si>
  <si>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</si>
  <si>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Transcritor de Sistema Braille</t>
  </si>
  <si>
    <t>40 horas</t>
  </si>
  <si>
    <t>2392-25</t>
  </si>
  <si>
    <t>GRUPO XII c/c § 5º</t>
  </si>
  <si>
    <t xml:space="preserve">Uniformes </t>
  </si>
  <si>
    <t>Cuidador</t>
  </si>
  <si>
    <t>5162-10</t>
  </si>
  <si>
    <t>Audiodescritor</t>
  </si>
  <si>
    <t>2614-30</t>
  </si>
  <si>
    <t>Uniformes e Equipamento de Proteção Individual - EPI</t>
  </si>
  <si>
    <t>Alfabetizador de Jovens e Adultos</t>
  </si>
  <si>
    <t>2394-25</t>
  </si>
  <si>
    <t>Psicopedagogo Educacional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</si>
  <si>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</si>
  <si>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</si>
  <si>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</si>
  <si>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</si>
  <si>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</si>
  <si>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</si>
  <si>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</si>
  <si>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</si>
  <si>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</si>
  <si>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</si>
  <si>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</si>
  <si>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</si>
  <si>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</si>
  <si>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</si>
  <si>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</si>
  <si>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</si>
  <si>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</si>
  <si>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</si>
  <si>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</si>
  <si>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</si>
  <si>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</si>
  <si>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</si>
  <si>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</si>
  <si>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</si>
  <si>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</si>
  <si>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</si>
  <si>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</si>
  <si>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</si>
  <si>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</si>
  <si>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</si>
  <si>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</si>
  <si>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</si>
  <si>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</si>
  <si>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</si>
  <si>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</si>
  <si>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</si>
  <si>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</si>
  <si>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</si>
  <si>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</si>
  <si>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</si>
  <si>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</si>
  <si>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</si>
  <si>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</si>
  <si>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</si>
  <si>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 calculados por dentro utilizando o coeficiente (1 - 8,65% = 91,35% ou 0,9135).</t>
  </si>
  <si>
    <t>**((Vr. faturamento) / (0,9135)) x Percentual da alíquota do tributo.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</si>
  <si>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</si>
  <si>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</si>
  <si>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</si>
  <si>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</si>
  <si>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</si>
  <si>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TRADUTOR-INTÉRPRETE DE LIBRAS - CBO: 2614-25</t>
    </r>
    <r>
      <rPr>
        <sz val="11"/>
        <color theme="1"/>
        <rFont val="Calibri"/>
        <charset val="134"/>
        <scheme val="minor"/>
      </rPr>
      <t>, em jornada semanal de 30 (trinta) horas;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</si>
  <si>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</si>
  <si>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TRANSCRITOR DE SISTEMA BRAILLE - CBO: 2392-25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</si>
  <si>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CUIDADOR - CBO: 5162-10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</si>
  <si>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AUDIODESCRITOR - CBO: 2614-30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</si>
  <si>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>PRESTAÇÃO DE SERVIÇOS DE APOIO NAPNE - Posto de serviços:</t>
    </r>
    <r>
      <rPr>
        <b/>
        <sz val="11"/>
        <color theme="1"/>
        <rFont val="Calibri"/>
        <charset val="134"/>
        <scheme val="minor"/>
      </rPr>
      <t xml:space="preserve"> ALFABETIZADOR DE JOVENS E ADULTOS - CBO: 2312-05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</si>
  <si>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40 (quarenta) horas;</t>
    </r>
  </si>
  <si>
    <t>PAGAMENTO DE DIÁRIA NACIONAL</t>
  </si>
  <si>
    <t>Diária</t>
  </si>
</sst>
</file>

<file path=xl/styles.xml><?xml version="1.0" encoding="utf-8"?>
<styleSheet xmlns="http://schemas.openxmlformats.org/spreadsheetml/2006/main" xmlns:xr9="http://schemas.microsoft.com/office/spreadsheetml/2016/revision9">
  <numFmts count="12">
    <numFmt numFmtId="176" formatCode="_-&quot;R$&quot;* #,##0_-;\-&quot;R$&quot;* #,##0_-;_-&quot;R$&quot;* &quot;-&quot;_-;_-@_-"/>
    <numFmt numFmtId="177" formatCode="_-&quot;R$ &quot;* #,##0.00_-;&quot;-R$ &quot;* #,##0.00_-;_-&quot;R$ &quot;* \-??_-;_-@_-"/>
    <numFmt numFmtId="178" formatCode="_-* #,##0_-;\-* #,##0_-;_-* &quot;-&quot;_-;_-@_-"/>
    <numFmt numFmtId="179" formatCode="_-* #,##0.00_-;\-* #,##0.00_-;_-* &quot;-&quot;??_-;_-@_-"/>
    <numFmt numFmtId="180" formatCode="&quot;R$ &quot;#,##0.00"/>
    <numFmt numFmtId="181" formatCode="&quot;R$&quot;\ #,##0.00_);[Red]\(&quot;R$&quot;\ #,##0.00\)"/>
    <numFmt numFmtId="182" formatCode="_-&quot;R$&quot;* #,##0.00_-;\-&quot;R$&quot;* #,##0.00_-;_-&quot;R$&quot;* &quot;-&quot;??_-;_-@_-"/>
    <numFmt numFmtId="183" formatCode="&quot;R$&quot;#,##0.00_);[Red]&quot;(R$&quot;#,##0.00\)"/>
    <numFmt numFmtId="184" formatCode="0.0000_ "/>
    <numFmt numFmtId="185" formatCode="&quot;R$&quot;#,##0.00_);[Red]\(&quot;R$&quot;#,##0.00\)"/>
    <numFmt numFmtId="186" formatCode="0.00_ "/>
    <numFmt numFmtId="187" formatCode="&quot;R$&quot;#,##0.00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sz val="12"/>
      <name val="Calibri"/>
      <charset val="134"/>
      <scheme val="minor"/>
    </font>
    <font>
      <sz val="11"/>
      <name val="Calibri"/>
      <charset val="134"/>
      <scheme val="minor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0"/>
      <name val="Arial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9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24" fillId="0" borderId="0" applyBorder="0" applyAlignment="0" applyProtection="0"/>
    <xf numFmtId="177" fontId="0" fillId="0" borderId="0" applyBorder="0" applyProtection="0"/>
    <xf numFmtId="9" fontId="0" fillId="0" borderId="0" applyBorder="0" applyProtection="0"/>
    <xf numFmtId="178" fontId="24" fillId="0" borderId="0" applyBorder="0" applyAlignment="0" applyProtection="0"/>
    <xf numFmtId="179" fontId="24" fillId="0" borderId="0" applyBorder="0" applyAlignment="0" applyProtection="0"/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9" borderId="32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33" applyNumberFormat="0" applyFill="0" applyAlignment="0" applyProtection="0">
      <alignment vertical="center"/>
    </xf>
    <xf numFmtId="0" fontId="32" fillId="0" borderId="33" applyNumberFormat="0" applyFill="0" applyAlignment="0" applyProtection="0">
      <alignment vertical="center"/>
    </xf>
    <xf numFmtId="0" fontId="33" fillId="0" borderId="34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20" borderId="35" applyNumberFormat="0" applyAlignment="0" applyProtection="0">
      <alignment vertical="center"/>
    </xf>
    <xf numFmtId="0" fontId="35" fillId="21" borderId="36" applyNumberFormat="0" applyAlignment="0" applyProtection="0">
      <alignment vertical="center"/>
    </xf>
    <xf numFmtId="0" fontId="36" fillId="21" borderId="35" applyNumberFormat="0" applyAlignment="0" applyProtection="0">
      <alignment vertical="center"/>
    </xf>
    <xf numFmtId="0" fontId="37" fillId="22" borderId="37" applyNumberFormat="0" applyAlignment="0" applyProtection="0">
      <alignment vertical="center"/>
    </xf>
    <xf numFmtId="0" fontId="38" fillId="0" borderId="38" applyNumberFormat="0" applyFill="0" applyAlignment="0" applyProtection="0">
      <alignment vertical="center"/>
    </xf>
    <xf numFmtId="0" fontId="39" fillId="0" borderId="39" applyNumberFormat="0" applyFill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4" fillId="39" borderId="0" applyNumberFormat="0" applyBorder="0" applyAlignment="0" applyProtection="0">
      <alignment vertical="center"/>
    </xf>
    <xf numFmtId="0" fontId="44" fillId="40" borderId="0" applyNumberFormat="0" applyBorder="0" applyAlignment="0" applyProtection="0">
      <alignment vertical="center"/>
    </xf>
    <xf numFmtId="0" fontId="43" fillId="41" borderId="0" applyNumberFormat="0" applyBorder="0" applyAlignment="0" applyProtection="0">
      <alignment vertical="center"/>
    </xf>
    <xf numFmtId="0" fontId="43" fillId="42" borderId="0" applyNumberFormat="0" applyBorder="0" applyAlignment="0" applyProtection="0">
      <alignment vertical="center"/>
    </xf>
    <xf numFmtId="0" fontId="44" fillId="43" borderId="0" applyNumberFormat="0" applyBorder="0" applyAlignment="0" applyProtection="0">
      <alignment vertical="center"/>
    </xf>
    <xf numFmtId="0" fontId="44" fillId="44" borderId="0" applyNumberFormat="0" applyBorder="0" applyAlignment="0" applyProtection="0">
      <alignment vertical="center"/>
    </xf>
    <xf numFmtId="0" fontId="43" fillId="45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4" fillId="46" borderId="0" applyNumberFormat="0" applyBorder="0" applyAlignment="0" applyProtection="0">
      <alignment vertical="center"/>
    </xf>
    <xf numFmtId="0" fontId="44" fillId="47" borderId="0" applyNumberFormat="0" applyBorder="0" applyAlignment="0" applyProtection="0">
      <alignment vertical="center"/>
    </xf>
    <xf numFmtId="0" fontId="43" fillId="48" borderId="0" applyNumberFormat="0" applyBorder="0" applyAlignment="0" applyProtection="0">
      <alignment vertical="center"/>
    </xf>
  </cellStyleXfs>
  <cellXfs count="18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80" fontId="2" fillId="0" borderId="0" xfId="0" applyNumberFormat="1" applyFont="1" applyFill="1" applyAlignment="1">
      <alignment horizontal="center" vertical="center" wrapText="1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180" fontId="0" fillId="0" borderId="0" xfId="0" applyNumberFormat="1" applyAlignment="1">
      <alignment horizontal="center" vertical="center"/>
    </xf>
    <xf numFmtId="0" fontId="3" fillId="3" borderId="4" xfId="12" applyFont="1" applyFill="1" applyBorder="1" applyAlignment="1">
      <alignment horizontal="center"/>
    </xf>
    <xf numFmtId="0" fontId="3" fillId="3" borderId="5" xfId="12" applyFont="1" applyFill="1" applyBorder="1" applyAlignment="1">
      <alignment horizontal="center"/>
    </xf>
    <xf numFmtId="0" fontId="3" fillId="3" borderId="6" xfId="12" applyFont="1" applyFill="1" applyBorder="1" applyAlignment="1">
      <alignment horizontal="center"/>
    </xf>
    <xf numFmtId="0" fontId="3" fillId="4" borderId="7" xfId="12" applyFont="1" applyFill="1" applyBorder="1" applyAlignment="1">
      <alignment horizontal="center" vertical="center" wrapText="1"/>
    </xf>
    <xf numFmtId="0" fontId="3" fillId="4" borderId="8" xfId="12" applyFont="1" applyFill="1" applyBorder="1" applyAlignment="1">
      <alignment horizontal="center" vertical="center" wrapText="1"/>
    </xf>
    <xf numFmtId="0" fontId="3" fillId="4" borderId="9" xfId="12" applyFont="1" applyFill="1" applyBorder="1" applyAlignment="1">
      <alignment horizontal="center" vertical="center" wrapText="1"/>
    </xf>
    <xf numFmtId="0" fontId="3" fillId="4" borderId="10" xfId="12" applyFont="1" applyFill="1" applyBorder="1" applyAlignment="1">
      <alignment horizontal="center" vertical="center" wrapText="1"/>
    </xf>
    <xf numFmtId="0" fontId="3" fillId="5" borderId="7" xfId="12" applyFont="1" applyFill="1" applyBorder="1" applyAlignment="1">
      <alignment horizontal="center" vertical="center" wrapText="1"/>
    </xf>
    <xf numFmtId="0" fontId="3" fillId="5" borderId="8" xfId="12" applyFont="1" applyFill="1" applyBorder="1" applyAlignment="1">
      <alignment horizontal="center" vertical="center" wrapText="1"/>
    </xf>
    <xf numFmtId="0" fontId="3" fillId="5" borderId="9" xfId="12" applyFont="1" applyFill="1" applyBorder="1" applyAlignment="1">
      <alignment horizontal="center" vertical="center"/>
    </xf>
    <xf numFmtId="0" fontId="3" fillId="5" borderId="10" xfId="12" applyFont="1" applyFill="1" applyBorder="1" applyAlignment="1">
      <alignment horizontal="center" vertical="center"/>
    </xf>
    <xf numFmtId="0" fontId="3" fillId="6" borderId="7" xfId="12" applyFont="1" applyFill="1" applyBorder="1" applyAlignment="1">
      <alignment horizontal="center" vertical="center"/>
    </xf>
    <xf numFmtId="182" fontId="3" fillId="6" borderId="8" xfId="2" applyNumberFormat="1" applyFont="1" applyFill="1" applyBorder="1" applyAlignment="1">
      <alignment horizontal="center" vertical="center"/>
    </xf>
    <xf numFmtId="182" fontId="3" fillId="6" borderId="9" xfId="2" applyNumberFormat="1" applyFont="1" applyFill="1" applyBorder="1" applyAlignment="1">
      <alignment horizontal="center" vertical="center"/>
    </xf>
    <xf numFmtId="182" fontId="3" fillId="6" borderId="10" xfId="2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/>
    <xf numFmtId="0" fontId="5" fillId="0" borderId="11" xfId="0" applyFont="1" applyFill="1" applyBorder="1" applyAlignment="1"/>
    <xf numFmtId="0" fontId="5" fillId="0" borderId="0" xfId="0" applyFont="1" applyFill="1" applyBorder="1" applyAlignment="1"/>
    <xf numFmtId="0" fontId="5" fillId="0" borderId="12" xfId="0" applyFont="1" applyFill="1" applyBorder="1" applyAlignment="1"/>
    <xf numFmtId="182" fontId="3" fillId="0" borderId="13" xfId="12" applyNumberFormat="1" applyFont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left" vertical="top"/>
    </xf>
    <xf numFmtId="0" fontId="5" fillId="5" borderId="0" xfId="0" applyFont="1" applyFill="1" applyBorder="1" applyAlignment="1">
      <alignment horizontal="left" vertical="top"/>
    </xf>
    <xf numFmtId="10" fontId="5" fillId="6" borderId="0" xfId="3" applyNumberFormat="1" applyFont="1" applyFill="1" applyBorder="1" applyAlignment="1">
      <alignment horizontal="center" vertical="center"/>
    </xf>
    <xf numFmtId="182" fontId="5" fillId="6" borderId="12" xfId="2" applyNumberFormat="1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left" vertical="top"/>
    </xf>
    <xf numFmtId="0" fontId="5" fillId="7" borderId="0" xfId="0" applyFont="1" applyFill="1" applyBorder="1" applyAlignment="1">
      <alignment horizontal="left" vertical="top"/>
    </xf>
    <xf numFmtId="0" fontId="3" fillId="4" borderId="16" xfId="12" applyFont="1" applyFill="1" applyBorder="1" applyAlignment="1">
      <alignment horizontal="center" vertical="center" wrapText="1"/>
    </xf>
    <xf numFmtId="182" fontId="3" fillId="6" borderId="17" xfId="12" applyNumberFormat="1" applyFont="1" applyFill="1" applyBorder="1" applyAlignment="1">
      <alignment horizontal="center" vertical="center" wrapText="1"/>
    </xf>
    <xf numFmtId="0" fontId="3" fillId="5" borderId="16" xfId="12" applyFont="1" applyFill="1" applyBorder="1" applyAlignment="1">
      <alignment horizontal="center" vertical="center" wrapText="1"/>
    </xf>
    <xf numFmtId="0" fontId="3" fillId="5" borderId="9" xfId="12" applyFont="1" applyFill="1" applyBorder="1" applyAlignment="1">
      <alignment horizontal="center" vertical="center" wrapText="1"/>
    </xf>
    <xf numFmtId="0" fontId="3" fillId="5" borderId="10" xfId="12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182" fontId="5" fillId="6" borderId="12" xfId="2" applyNumberFormat="1" applyFont="1" applyFill="1" applyBorder="1"/>
    <xf numFmtId="0" fontId="3" fillId="7" borderId="11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10" fontId="3" fillId="6" borderId="0" xfId="0" applyNumberFormat="1" applyFont="1" applyFill="1" applyBorder="1" applyAlignment="1">
      <alignment horizontal="center" vertical="center"/>
    </xf>
    <xf numFmtId="182" fontId="3" fillId="6" borderId="12" xfId="0" applyNumberFormat="1" applyFont="1" applyFill="1" applyBorder="1" applyAlignment="1">
      <alignment horizontal="center" vertical="center"/>
    </xf>
    <xf numFmtId="0" fontId="3" fillId="3" borderId="16" xfId="12" applyFont="1" applyFill="1" applyBorder="1" applyAlignment="1">
      <alignment horizontal="center" vertical="center" wrapText="1"/>
    </xf>
    <xf numFmtId="0" fontId="3" fillId="3" borderId="9" xfId="12" applyFont="1" applyFill="1" applyBorder="1" applyAlignment="1">
      <alignment horizontal="center" vertical="center" wrapText="1"/>
    </xf>
    <xf numFmtId="0" fontId="3" fillId="3" borderId="10" xfId="12" applyFont="1" applyFill="1" applyBorder="1" applyAlignment="1">
      <alignment horizontal="center" vertical="center" wrapText="1"/>
    </xf>
    <xf numFmtId="182" fontId="3" fillId="3" borderId="17" xfId="12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7" fillId="8" borderId="18" xfId="0" applyNumberFormat="1" applyFont="1" applyFill="1" applyBorder="1" applyAlignment="1" applyProtection="1">
      <alignment horizontal="center" vertical="center"/>
    </xf>
    <xf numFmtId="0" fontId="7" fillId="8" borderId="19" xfId="0" applyNumberFormat="1" applyFont="1" applyFill="1" applyBorder="1" applyAlignment="1" applyProtection="1">
      <alignment horizontal="center" vertical="center"/>
    </xf>
    <xf numFmtId="0" fontId="8" fillId="9" borderId="20" xfId="0" applyNumberFormat="1" applyFont="1" applyFill="1" applyBorder="1" applyAlignment="1" applyProtection="1">
      <alignment horizontal="left" vertical="center"/>
    </xf>
    <xf numFmtId="10" fontId="8" fillId="10" borderId="0" xfId="0" applyNumberFormat="1" applyFont="1" applyFill="1" applyBorder="1" applyAlignment="1" applyProtection="1">
      <alignment horizontal="center" vertical="center"/>
    </xf>
    <xf numFmtId="0" fontId="8" fillId="11" borderId="21" xfId="0" applyNumberFormat="1" applyFont="1" applyFill="1" applyBorder="1" applyAlignment="1" applyProtection="1">
      <alignment horizontal="left" vertical="center"/>
    </xf>
    <xf numFmtId="183" fontId="8" fillId="10" borderId="0" xfId="0" applyNumberFormat="1" applyFont="1" applyFill="1" applyBorder="1" applyAlignment="1" applyProtection="1">
      <alignment horizontal="center"/>
    </xf>
    <xf numFmtId="184" fontId="8" fillId="1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3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/>
    </xf>
    <xf numFmtId="0" fontId="11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justify" wrapText="1"/>
    </xf>
    <xf numFmtId="185" fontId="13" fillId="6" borderId="0" xfId="0" applyNumberFormat="1" applyFont="1" applyFill="1" applyAlignment="1">
      <alignment horizontal="center" vertical="center" wrapText="1"/>
    </xf>
    <xf numFmtId="185" fontId="13" fillId="0" borderId="0" xfId="0" applyNumberFormat="1" applyFont="1" applyAlignment="1">
      <alignment horizontal="center" vertical="center" wrapText="1"/>
    </xf>
    <xf numFmtId="0" fontId="16" fillId="12" borderId="0" xfId="0" applyFont="1" applyFill="1" applyAlignment="1">
      <alignment horizontal="center"/>
    </xf>
    <xf numFmtId="185" fontId="16" fillId="12" borderId="0" xfId="0" applyNumberFormat="1" applyFont="1" applyFill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13" borderId="22" xfId="0" applyFont="1" applyFill="1" applyBorder="1" applyAlignment="1">
      <alignment horizontal="center"/>
    </xf>
    <xf numFmtId="0" fontId="12" fillId="14" borderId="23" xfId="0" applyFont="1" applyFill="1" applyBorder="1" applyAlignment="1">
      <alignment horizontal="left" wrapText="1"/>
    </xf>
    <xf numFmtId="0" fontId="12" fillId="15" borderId="0" xfId="0" applyFont="1" applyFill="1" applyBorder="1" applyAlignment="1">
      <alignment horizontal="left" wrapText="1"/>
    </xf>
    <xf numFmtId="49" fontId="0" fillId="15" borderId="0" xfId="0" applyNumberFormat="1" applyFont="1" applyFill="1" applyBorder="1" applyAlignment="1">
      <alignment horizontal="left"/>
    </xf>
    <xf numFmtId="0" fontId="0" fillId="15" borderId="0" xfId="0" applyFont="1" applyFill="1" applyBorder="1" applyAlignment="1">
      <alignment horizontal="left"/>
    </xf>
    <xf numFmtId="0" fontId="1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3" borderId="24" xfId="0" applyFont="1" applyFill="1" applyBorder="1" applyAlignment="1">
      <alignment horizontal="center"/>
    </xf>
    <xf numFmtId="0" fontId="0" fillId="14" borderId="25" xfId="0" applyFont="1" applyFill="1" applyBorder="1" applyAlignment="1">
      <alignment horizontal="center"/>
    </xf>
    <xf numFmtId="0" fontId="0" fillId="14" borderId="20" xfId="0" applyFont="1" applyFill="1" applyBorder="1"/>
    <xf numFmtId="0" fontId="0" fillId="16" borderId="20" xfId="0" applyFont="1" applyFill="1" applyBorder="1" applyAlignment="1">
      <alignment horizontal="center"/>
    </xf>
    <xf numFmtId="0" fontId="0" fillId="17" borderId="26" xfId="0" applyFont="1" applyFill="1" applyBorder="1" applyAlignment="1">
      <alignment horizontal="center"/>
    </xf>
    <xf numFmtId="0" fontId="0" fillId="17" borderId="27" xfId="0" applyFont="1" applyFill="1" applyBorder="1"/>
    <xf numFmtId="0" fontId="0" fillId="16" borderId="27" xfId="0" applyFont="1" applyFill="1" applyBorder="1" applyAlignment="1">
      <alignment horizontal="center"/>
    </xf>
    <xf numFmtId="0" fontId="0" fillId="14" borderId="26" xfId="0" applyFont="1" applyFill="1" applyBorder="1" applyAlignment="1">
      <alignment horizontal="center"/>
    </xf>
    <xf numFmtId="0" fontId="0" fillId="14" borderId="27" xfId="0" applyFont="1" applyFill="1" applyBorder="1"/>
    <xf numFmtId="0" fontId="19" fillId="13" borderId="22" xfId="0" applyFont="1" applyFill="1" applyBorder="1" applyAlignment="1">
      <alignment horizontal="center"/>
    </xf>
    <xf numFmtId="0" fontId="19" fillId="13" borderId="28" xfId="0" applyFont="1" applyFill="1" applyBorder="1" applyAlignment="1">
      <alignment horizontal="center" wrapText="1"/>
    </xf>
    <xf numFmtId="0" fontId="19" fillId="13" borderId="18" xfId="0" applyFont="1" applyFill="1" applyBorder="1" applyAlignment="1">
      <alignment horizontal="center"/>
    </xf>
    <xf numFmtId="0" fontId="0" fillId="14" borderId="27" xfId="0" applyFont="1" applyFill="1" applyBorder="1" applyAlignment="1">
      <alignment horizontal="center"/>
    </xf>
    <xf numFmtId="0" fontId="0" fillId="16" borderId="29" xfId="0" applyFont="1" applyFill="1" applyBorder="1" applyAlignment="1">
      <alignment horizontal="center"/>
    </xf>
    <xf numFmtId="0" fontId="0" fillId="17" borderId="27" xfId="0" applyFont="1" applyFill="1" applyBorder="1" applyAlignment="1">
      <alignment horizontal="center"/>
    </xf>
    <xf numFmtId="180" fontId="0" fillId="16" borderId="29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6" borderId="0" xfId="0" applyFill="1" applyAlignment="1">
      <alignment horizontal="center"/>
    </xf>
    <xf numFmtId="180" fontId="0" fillId="16" borderId="0" xfId="0" applyNumberFormat="1" applyFill="1" applyAlignment="1">
      <alignment horizontal="center"/>
    </xf>
    <xf numFmtId="0" fontId="0" fillId="16" borderId="0" xfId="0" applyFont="1" applyFill="1" applyAlignment="1">
      <alignment horizontal="center"/>
    </xf>
    <xf numFmtId="49" fontId="0" fillId="16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6" borderId="0" xfId="0" applyFont="1" applyFill="1" applyAlignment="1">
      <alignment horizontal="center" wrapText="1"/>
    </xf>
    <xf numFmtId="180" fontId="0" fillId="0" borderId="0" xfId="0" applyNumberFormat="1" applyAlignment="1">
      <alignment horizontal="center"/>
    </xf>
    <xf numFmtId="0" fontId="19" fillId="13" borderId="0" xfId="0" applyFont="1" applyFill="1" applyBorder="1" applyAlignment="1">
      <alignment horizontal="center"/>
    </xf>
    <xf numFmtId="10" fontId="0" fillId="0" borderId="0" xfId="3" applyNumberFormat="1" applyFont="1" applyBorder="1" applyAlignment="1" applyProtection="1">
      <alignment horizontal="center"/>
    </xf>
    <xf numFmtId="0" fontId="0" fillId="0" borderId="0" xfId="0" applyAlignment="1"/>
    <xf numFmtId="0" fontId="19" fillId="13" borderId="0" xfId="0" applyFont="1" applyFill="1" applyBorder="1" applyAlignment="1">
      <alignment horizontal="center" vertical="center"/>
    </xf>
    <xf numFmtId="0" fontId="12" fillId="14" borderId="20" xfId="0" applyFont="1" applyFill="1" applyBorder="1" applyAlignment="1">
      <alignment horizontal="center" vertical="center"/>
    </xf>
    <xf numFmtId="183" fontId="0" fillId="16" borderId="21" xfId="0" applyNumberFormat="1" applyFont="1" applyFill="1" applyBorder="1" applyAlignment="1">
      <alignment horizontal="center" vertical="center"/>
    </xf>
    <xf numFmtId="0" fontId="12" fillId="17" borderId="21" xfId="0" applyFont="1" applyFill="1" applyBorder="1" applyAlignment="1">
      <alignment horizontal="center" vertical="center"/>
    </xf>
    <xf numFmtId="183" fontId="12" fillId="16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6" borderId="0" xfId="3" applyNumberFormat="1" applyFont="1" applyFill="1" applyBorder="1" applyAlignment="1" applyProtection="1">
      <alignment horizontal="center"/>
    </xf>
    <xf numFmtId="180" fontId="0" fillId="16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0" fontId="0" fillId="16" borderId="0" xfId="0" applyNumberFormat="1" applyFill="1" applyAlignment="1">
      <alignment horizontal="center" vertical="center"/>
    </xf>
    <xf numFmtId="180" fontId="0" fillId="0" borderId="0" xfId="0" applyNumberFormat="1" applyFont="1" applyAlignment="1">
      <alignment horizontal="left" vertical="center"/>
    </xf>
    <xf numFmtId="10" fontId="0" fillId="0" borderId="0" xfId="3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6" borderId="0" xfId="3" applyNumberFormat="1" applyFont="1" applyFill="1" applyBorder="1" applyAlignment="1" applyProtection="1">
      <alignment horizontal="center" vertical="center"/>
    </xf>
    <xf numFmtId="10" fontId="0" fillId="6" borderId="0" xfId="3" applyNumberFormat="1" applyFont="1" applyFill="1" applyBorder="1" applyAlignment="1" applyProtection="1">
      <alignment horizontal="center" vertical="center"/>
    </xf>
    <xf numFmtId="180" fontId="0" fillId="6" borderId="0" xfId="0" applyNumberFormat="1" applyFill="1" applyAlignment="1">
      <alignment horizontal="center"/>
    </xf>
    <xf numFmtId="180" fontId="0" fillId="6" borderId="0" xfId="0" applyNumberFormat="1" applyFill="1" applyAlignment="1">
      <alignment horizontal="center" vertical="center"/>
    </xf>
    <xf numFmtId="0" fontId="19" fillId="13" borderId="0" xfId="0" applyFont="1" applyFill="1" applyBorder="1" applyAlignment="1">
      <alignment horizontal="center" wrapText="1"/>
    </xf>
    <xf numFmtId="186" fontId="0" fillId="16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80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80" fontId="20" fillId="0" borderId="0" xfId="0" applyNumberFormat="1" applyFont="1" applyAlignment="1">
      <alignment horizontal="center"/>
    </xf>
    <xf numFmtId="180" fontId="21" fillId="16" borderId="0" xfId="0" applyNumberFormat="1" applyFont="1" applyFill="1" applyAlignment="1">
      <alignment horizontal="center"/>
    </xf>
    <xf numFmtId="180" fontId="0" fillId="0" borderId="0" xfId="0" applyNumberFormat="1" applyAlignment="1">
      <alignment horizontal="center" vertical="center"/>
    </xf>
    <xf numFmtId="180" fontId="13" fillId="16" borderId="0" xfId="0" applyNumberFormat="1" applyFont="1" applyFill="1" applyAlignment="1">
      <alignment horizontal="center"/>
    </xf>
    <xf numFmtId="0" fontId="19" fillId="13" borderId="18" xfId="0" applyFont="1" applyFill="1" applyBorder="1" applyAlignment="1">
      <alignment horizontal="center" vertical="center"/>
    </xf>
    <xf numFmtId="10" fontId="13" fillId="16" borderId="0" xfId="3" applyNumberFormat="1" applyFont="1" applyFill="1" applyBorder="1" applyAlignment="1" applyProtection="1">
      <alignment horizontal="center"/>
    </xf>
    <xf numFmtId="0" fontId="0" fillId="14" borderId="20" xfId="0" applyFont="1" applyFill="1" applyBorder="1" applyAlignment="1">
      <alignment horizontal="left" vertical="center"/>
    </xf>
    <xf numFmtId="0" fontId="0" fillId="17" borderId="21" xfId="0" applyFont="1" applyFill="1" applyBorder="1" applyAlignment="1">
      <alignment horizontal="left" vertical="center"/>
    </xf>
    <xf numFmtId="183" fontId="0" fillId="16" borderId="0" xfId="0" applyNumberFormat="1" applyFill="1"/>
    <xf numFmtId="184" fontId="0" fillId="16" borderId="0" xfId="0" applyNumberFormat="1" applyFill="1" applyAlignment="1">
      <alignment horizontal="center" vertical="center"/>
    </xf>
    <xf numFmtId="0" fontId="13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3" borderId="0" xfId="0" applyFont="1" applyFill="1"/>
    <xf numFmtId="0" fontId="19" fillId="13" borderId="0" xfId="0" applyFont="1" applyFill="1" applyAlignment="1">
      <alignment horizontal="center" vertical="center"/>
    </xf>
    <xf numFmtId="180" fontId="19" fillId="13" borderId="0" xfId="0" applyNumberFormat="1" applyFont="1" applyFill="1" applyAlignment="1">
      <alignment horizontal="center"/>
    </xf>
    <xf numFmtId="185" fontId="0" fillId="16" borderId="0" xfId="0" applyNumberFormat="1" applyFill="1" applyAlignment="1">
      <alignment horizontal="center"/>
    </xf>
    <xf numFmtId="0" fontId="12" fillId="0" borderId="30" xfId="0" applyFont="1" applyBorder="1" applyAlignment="1">
      <alignment horizontal="center"/>
    </xf>
    <xf numFmtId="177" fontId="0" fillId="16" borderId="0" xfId="2" applyFont="1" applyFill="1" applyBorder="1" applyAlignment="1" applyProtection="1">
      <alignment horizontal="center"/>
    </xf>
    <xf numFmtId="187" fontId="0" fillId="16" borderId="0" xfId="0" applyNumberFormat="1" applyFill="1" applyAlignment="1">
      <alignment horizontal="center"/>
    </xf>
    <xf numFmtId="9" fontId="0" fillId="16" borderId="0" xfId="0" applyNumberFormat="1" applyFill="1" applyAlignment="1">
      <alignment horizontal="center"/>
    </xf>
    <xf numFmtId="0" fontId="0" fillId="0" borderId="0" xfId="0" applyFont="1" applyAlignment="1"/>
    <xf numFmtId="10" fontId="0" fillId="16" borderId="0" xfId="3" applyNumberFormat="1" applyFont="1" applyFill="1" applyBorder="1" applyAlignment="1" applyProtection="1"/>
    <xf numFmtId="10" fontId="0" fillId="0" borderId="0" xfId="3" applyNumberFormat="1" applyFont="1" applyBorder="1" applyAlignment="1" applyProtection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0" fontId="0" fillId="0" borderId="0" xfId="0" applyNumberFormat="1" applyFont="1" applyAlignment="1">
      <alignment horizontal="center" vertical="center" wrapText="1"/>
    </xf>
    <xf numFmtId="180" fontId="22" fillId="13" borderId="0" xfId="0" applyNumberFormat="1" applyFont="1" applyFill="1" applyAlignment="1">
      <alignment horizontal="center"/>
    </xf>
    <xf numFmtId="0" fontId="12" fillId="18" borderId="31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left" vertical="center" wrapText="1"/>
    </xf>
    <xf numFmtId="0" fontId="0" fillId="18" borderId="0" xfId="0" applyFont="1" applyFill="1" applyBorder="1" applyAlignment="1">
      <alignment horizontal="left" wrapText="1"/>
    </xf>
    <xf numFmtId="0" fontId="12" fillId="18" borderId="0" xfId="0" applyFont="1" applyFill="1" applyBorder="1" applyAlignment="1">
      <alignment horizontal="left" vertical="center" wrapText="1"/>
    </xf>
    <xf numFmtId="0" fontId="23" fillId="18" borderId="0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</cellStyles>
  <dxfs count="291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1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ccl-compartilhamento\COMISS&#195;O DE LICITA&#199;&#195;O - DCCL\1 - PREG&#195;O ELETR&#212;NICO\2022\EDITAL n.&#176; 010 - 2022 - APOIO ADMINISTRATIVO\Planilhas\1. Planilha - Custos dos Profissionais - Reitori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"/>
      <sheetName val="Servente"/>
      <sheetName val="Encarregado"/>
      <sheetName val="Recepcionista Secretária"/>
      <sheetName val="Copeiro (a)"/>
      <sheetName val="Portaria"/>
      <sheetName val="Motorista Interestadual"/>
      <sheetName val="Motorista Intermunicipal"/>
      <sheetName val="Diárias"/>
      <sheetName val="Uniformes"/>
      <sheetName val="Materiais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>
        <row r="132">
          <cell r="C132">
            <v>0.0065</v>
          </cell>
        </row>
        <row r="133">
          <cell r="C133">
            <v>0.03</v>
          </cell>
        </row>
        <row r="134">
          <cell r="C134">
            <v>0.05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00.xml><?xml version="1.0" encoding="utf-8"?>
<table xmlns="http://schemas.openxmlformats.org/spreadsheetml/2006/main" id="89" name="ResumoPosto64_6410890" displayName="ResumoPosto64_6410890" ref="A140:D148" totalsRowShown="0">
  <autoFilter ref="A140:D148"/>
  <tableColumns count="4">
    <tableColumn id="1" name="Item" dataDxfId="273"/>
    <tableColumn id="2" name="Mão de obra vinculada à execução contratual" dataDxfId="274"/>
    <tableColumn id="3" name="-" dataDxfId="275"/>
    <tableColumn id="4" name="Valor" dataDxfId="276"/>
  </tableColumns>
  <tableStyleInfo showFirstColumn="0" showLastColumn="0" showRowStripes="1" showColumnStripes="0"/>
</table>
</file>

<file path=xl/tables/table101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277"/>
    <tableColumn id="2" name="PEÇA" dataDxfId="278"/>
    <tableColumn id="3" name="DESCRIÇÃO" dataDxfId="279"/>
    <tableColumn id="4" name="UNIDADE" dataDxfId="280"/>
    <tableColumn id="5" name="VALOR MÉDIO UNITÁRIO (R$)" dataDxfId="281"/>
    <tableColumn id="6" name="QUANTIDADE ANUAL" dataDxfId="282"/>
    <tableColumn id="7" name="VALOR ANUAL POR EMPREGADO (R$)" dataDxfId="283"/>
    <tableColumn id="8" name="VALOR MENSAL POR EMPREGADO (R$)" totalsRowFunction="sum" dataDxfId="284"/>
  </tableColumns>
  <tableStyleInfo showFirstColumn="0" showLastColumn="0" showRowStripes="1" showColumnStripes="0"/>
</table>
</file>

<file path=xl/tables/table102.xml><?xml version="1.0" encoding="utf-8"?>
<table xmlns="http://schemas.openxmlformats.org/spreadsheetml/2006/main" id="7" name="Table39" displayName="Table39" ref="A2:G10" totalsRowCount="1">
  <tableColumns count="7">
    <tableColumn id="1" name="Item" totalsRowLabel="TOTAL" dataDxfId="285"/>
    <tableColumn id="2" name="Descrição" dataDxfId="286"/>
    <tableColumn id="7" name="Unidade" dataDxfId="287"/>
    <tableColumn id="3" name="Quantidade" dataDxfId="288"/>
    <tableColumn id="6" name="VIGÊNCIA (Mês)" dataDxfId="289"/>
    <tableColumn id="4" name="VALOR UNITÁRIO MÁXIMO ACEITÁVEL" dataDxfId="290"/>
    <tableColumn id="5" name="VALOR TOTAL MÁXIMO ACEITÁVEL" totalsRowFunction="custom">
      <totalsRowFormula>SUM(G3:G9)</totalsRowFormula>
    </tableColumn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" name="Módulo358_571046" displayName="Módulo358_571046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9" name="ResumoMódulo257_6011310" displayName="ResumoMódulo257_6011310" ref="A69:D73" totalsRowCount="1">
  <autoFilter ref="A69:D72"/>
  <tableColumns count="4">
    <tableColumn id="1" name="2" totalsRowLabel="Total" dataDxfId="84"/>
    <tableColumn id="2" name="Encargos e Benefícios Anuais, Mensais e Diários" dataDxfId="85"/>
    <tableColumn id="3" name="Comentário" dataDxfId="86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1" name="Submódulo2.255_6311412" displayName="Submódulo2.255_6311412" ref="A46:D55" totalsRowCount="1">
  <autoFilter ref="A46:D54"/>
  <tableColumns count="4">
    <tableColumn id="1" name="2.2" totalsRowLabel="Total" dataDxfId="87"/>
    <tableColumn id="2" name="GPS, FGTS e outras contribuições" dataDxfId="88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3" name="Módulo562_5811614" displayName="Módulo562_5811614" ref="A113:D119" totalsRowCount="1">
  <autoFilter ref="A113:D118"/>
  <tableColumns count="4">
    <tableColumn id="1" name="5" totalsRowLabel="Total" dataDxfId="89"/>
    <tableColumn id="2" name="Insumos Diversos" dataDxfId="90"/>
    <tableColumn id="3" name="Comentário" dataDxfId="91"/>
    <tableColumn id="4" name="Valor" totalsRowFunction="sum" dataDxfId="92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5" name="Módulo663_5910516" displayName="Módulo663_5910516" ref="A129:D136" totalsRowCount="1">
  <tableColumns count="4">
    <tableColumn id="1" name="6" totalsRowLabel="Total" dataDxfId="93"/>
    <tableColumn id="2" name="Custos Indiretos, Tributos e Lucro" dataDxfId="94"/>
    <tableColumn id="3" name="Percentual" dataDxfId="9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7" name="ResumoMódulo461_6211518" displayName="ResumoMódulo461_6211518" ref="A107:D110" totalsRowCount="1">
  <autoFilter ref="A107:D109"/>
  <tableColumns count="4">
    <tableColumn id="1" name="4" totalsRowLabel="Total" dataDxfId="96"/>
    <tableColumn id="2" name="Custo de Reposição do Profissional Ausente" dataDxfId="97"/>
    <tableColumn id="3" name="Comentário" totalsRowLabel="*Nota: Se o titular USUFRUIR do descanso intrajornada, o total é o somatório dos subitens 4.1 e 4.2" dataDxfId="98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9" name="Submódulo4.260_5510720" displayName="Submódulo4.260_5510720" ref="A102:D104" totalsRowCount="1">
  <autoFilter ref="A102:D103"/>
  <tableColumns count="4">
    <tableColumn id="1" name="4.2" totalsRowLabel="Total" dataDxfId="99"/>
    <tableColumn id="2" name="Substituto na Intrajornada " dataDxfId="100"/>
    <tableColumn id="3" name="Comentário" dataDxfId="10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21" name="Submódulo2.154_6111122" displayName="Submódulo2.154_6111122" ref="A36:D39" totalsRowCount="1">
  <autoFilter ref="A36:D38"/>
  <tableColumns count="4">
    <tableColumn id="1" name="2.1" totalsRowLabel="Total" dataDxfId="102"/>
    <tableColumn id="2" name="13º (décimo terceiro) Salário, Férias e Adicional de Férias" dataDxfId="103"/>
    <tableColumn id="3" name="Percentual" dataDxfId="10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23" name="Submódulo4.159_5411024" displayName="Submódulo4.159_5411024" ref="A92:D99" totalsRowCount="1">
  <autoFilter ref="A92:D98"/>
  <tableColumns count="4">
    <tableColumn id="1" name="4.1" totalsRowLabel="Total" dataDxfId="105"/>
    <tableColumn id="2" name="Substituto nas Ausências Legais" dataDxfId="106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25" name="Módulo153_5210926" displayName="Módulo153_5210926" ref="A24:D31" totalsRowCount="1">
  <autoFilter ref="A24:D30"/>
  <tableColumns count="4">
    <tableColumn id="1" name="1" totalsRowLabel="Total" dataDxfId="107"/>
    <tableColumn id="2" name="Composição da Remuneração" dataDxfId="108"/>
    <tableColumn id="3" name="Comentário" dataDxfId="10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27" name="Submódulo2.356_5311228" displayName="Submódulo2.356_5311228" ref="A58:D66" totalsRowCount="1">
  <autoFilter ref="A58:D65"/>
  <tableColumns count="4">
    <tableColumn id="1" name="2.3" totalsRowLabel="Total" dataDxfId="110"/>
    <tableColumn id="2" name="Benefícios Mensais e Diários" dataDxfId="111"/>
    <tableColumn id="3" name="Comentário" dataDxfId="112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29" name="Table452_5610630" displayName="Table452_5610630" ref="A16:D21" totalsRowShown="0">
  <tableColumns count="4">
    <tableColumn id="1" name="Item" dataDxfId="113"/>
    <tableColumn id="2" name="Descrição" dataDxfId="114"/>
    <tableColumn id="3" name="Comentário" dataDxfId="115"/>
    <tableColumn id="4" name="Valor" dataDxfId="116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30" name="ResumoPosto64_6410831" displayName="ResumoPosto64_6410831" ref="A140:D148" totalsRowShown="0">
  <autoFilter ref="A140:D148"/>
  <tableColumns count="4">
    <tableColumn id="1" name="Item" dataDxfId="117"/>
    <tableColumn id="2" name="Mão de obra vinculada à execução contratual" dataDxfId="118"/>
    <tableColumn id="3" name="-" dataDxfId="119"/>
    <tableColumn id="4" name="Valor" dataDxfId="120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1"/>
    <tableColumn id="2" name="Provisão para Rescisão" dataDxfId="122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3"/>
    <tableColumn id="2" name="Custos Indiretos, Tributos e Lucro" dataDxfId="124"/>
    <tableColumn id="3" name="Percentual" dataDxfId="12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30"/>
    <tableColumn id="2" name="Substituto na Intrajornada " dataDxfId="131"/>
    <tableColumn id="3" name="Comentário" dataDxfId="13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133"/>
    <tableColumn id="2" name="Mão de obra vinculada à execução contratual" dataDxfId="134"/>
    <tableColumn id="3" name="-" dataDxfId="135"/>
    <tableColumn id="4" name="Valor" dataDxfId="136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7"/>
    <tableColumn id="2" name="Composição da Remuneração" dataDxfId="138"/>
    <tableColumn id="3" name="Comentário" dataDxfId="13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40"/>
    <tableColumn id="2" name="Substituto nas Ausências Legais" dataDxfId="141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2"/>
    <tableColumn id="2" name="13º (décimo terceiro) Salário, Férias e Adicional de Férias" dataDxfId="143"/>
    <tableColumn id="3" name="Percentual" dataDxfId="14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5"/>
    <tableColumn id="2" name="Benefícios Mensais e Diários" dataDxfId="146"/>
    <tableColumn id="3" name="Comentário" dataDxfId="14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8"/>
    <tableColumn id="2" name="Encargos e Benefícios Anuais, Mensais e Diários" dataDxfId="149"/>
    <tableColumn id="3" name="Comentário" dataDxfId="150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1"/>
    <tableColumn id="2" name="GPS, FGTS e outras contribuições" dataDxfId="152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3"/>
    <tableColumn id="2" name="Custo de Reposição do Profissional Ausente" dataDxfId="154"/>
    <tableColumn id="3" name="Comentário" totalsRowLabel="*Nota: Se o titular USUFRUIR do descanso intrajornada, o total é o somatório dos subitens 4.1 e 4.2" dataDxfId="15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6"/>
    <tableColumn id="2" name="Insumos Diversos" dataDxfId="157"/>
    <tableColumn id="3" name="Comentário" dataDxfId="158"/>
    <tableColumn id="4" name="Valor" totalsRowFunction="sum" dataDxfId="159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1" name="Módulo358_5710432" displayName="Módulo358_5710432" ref="A76:D83" totalsRowCount="1">
  <autoFilter ref="A76:D82"/>
  <tableColumns count="4">
    <tableColumn id="1" name="3" totalsRowLabel="Total" dataDxfId="160"/>
    <tableColumn id="2" name="Provisão para Rescisão" dataDxfId="16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8" name="ResumoMódulo257_6011339" displayName="ResumoMódulo257_6011339" ref="A69:D73" totalsRowCount="1">
  <autoFilter ref="A69:D72"/>
  <tableColumns count="4">
    <tableColumn id="1" name="2" totalsRowLabel="Total" dataDxfId="162"/>
    <tableColumn id="2" name="Encargos e Benefícios Anuais, Mensais e Diários" dataDxfId="163"/>
    <tableColumn id="3" name="Comentário" dataDxfId="164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39" name="Submódulo2.255_6311440" displayName="Submódulo2.255_6311440" ref="A46:D55" totalsRowCount="1">
  <autoFilter ref="A46:D54"/>
  <tableColumns count="4">
    <tableColumn id="1" name="2.2" totalsRowLabel="Total" dataDxfId="165"/>
    <tableColumn id="2" name="GPS, FGTS e outras contribuições" dataDxfId="166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0" name="Módulo562_5811641" displayName="Módulo562_5811641" ref="A113:D119" totalsRowCount="1">
  <autoFilter ref="A113:D118"/>
  <tableColumns count="4">
    <tableColumn id="1" name="5" totalsRowLabel="Total" dataDxfId="167"/>
    <tableColumn id="2" name="Insumos Diversos" dataDxfId="168"/>
    <tableColumn id="3" name="Comentário" dataDxfId="169"/>
    <tableColumn id="4" name="Valor" totalsRowFunction="sum" dataDxfId="170"/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1" name="Módulo663_5910542" displayName="Módulo663_5910542" ref="A129:D136" totalsRowCount="1">
  <tableColumns count="4">
    <tableColumn id="1" name="6" totalsRowLabel="Total" dataDxfId="171"/>
    <tableColumn id="2" name="Custos Indiretos, Tributos e Lucro" dataDxfId="172"/>
    <tableColumn id="3" name="Percentual" dataDxfId="173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2" name="ResumoMódulo461_6211543" displayName="ResumoMódulo461_6211543" ref="A107:D110" totalsRowCount="1">
  <autoFilter ref="A107:D109"/>
  <tableColumns count="4">
    <tableColumn id="1" name="4" totalsRowLabel="Total" dataDxfId="174"/>
    <tableColumn id="2" name="Custo de Reposição do Profissional Ausente" dataDxfId="175"/>
    <tableColumn id="3" name="Comentário" totalsRowLabel="*Nota: Se o titular USUFRUIR do descanso intrajornada, o total é o somatório dos subitens 4.1 e 4.2" dataDxfId="17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3" name="Submódulo4.260_5510744" displayName="Submódulo4.260_5510744" ref="A102:D104" totalsRowCount="1">
  <autoFilter ref="A102:D103"/>
  <tableColumns count="4">
    <tableColumn id="1" name="4.2" totalsRowLabel="Total" dataDxfId="177"/>
    <tableColumn id="2" name="Substituto na Intrajornada " dataDxfId="178"/>
    <tableColumn id="3" name="Comentário" dataDxfId="179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4" name="Submódulo2.154_6111145" displayName="Submódulo2.154_6111145" ref="A36:D39" totalsRowCount="1">
  <autoFilter ref="A36:D38"/>
  <tableColumns count="4">
    <tableColumn id="1" name="2.1" totalsRowLabel="Total" dataDxfId="180"/>
    <tableColumn id="2" name="13º (décimo terceiro) Salário, Férias e Adicional de Férias" dataDxfId="181"/>
    <tableColumn id="3" name="Percentual" dataDxfId="182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5" name="Submódulo4.159_5411046" displayName="Submódulo4.159_5411046" ref="A92:D99" totalsRowCount="1">
  <autoFilter ref="A92:D98"/>
  <tableColumns count="4">
    <tableColumn id="1" name="4.1" totalsRowLabel="Total" dataDxfId="183"/>
    <tableColumn id="2" name="Substituto nas Ausências Legais" dataDxfId="184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6" name="Módulo153_5210947" displayName="Módulo153_5210947" ref="A24:D31" totalsRowCount="1">
  <autoFilter ref="A24:D30"/>
  <tableColumns count="4">
    <tableColumn id="1" name="1" totalsRowLabel="Total" dataDxfId="185"/>
    <tableColumn id="2" name="Composição da Remuneração" dataDxfId="186"/>
    <tableColumn id="3" name="Comentário" dataDxfId="187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7" name="Submódulo2.356_5311248" displayName="Submódulo2.356_5311248" ref="A58:D66" totalsRowCount="1">
  <autoFilter ref="A58:D65"/>
  <tableColumns count="4">
    <tableColumn id="1" name="2.3" totalsRowLabel="Total" dataDxfId="188"/>
    <tableColumn id="2" name="Benefícios Mensais e Diários" dataDxfId="189"/>
    <tableColumn id="3" name="Comentário" dataDxfId="190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8" name="Table452_5610649" displayName="Table452_5610649" ref="A16:D21" totalsRowShown="0">
  <tableColumns count="4">
    <tableColumn id="1" name="Item" dataDxfId="191"/>
    <tableColumn id="2" name="Descrição" dataDxfId="192"/>
    <tableColumn id="3" name="Comentário" dataDxfId="193"/>
    <tableColumn id="4" name="Valor" dataDxfId="194"/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49" name="ResumoPosto64_6410850" displayName="ResumoPosto64_6410850" ref="A140:D148" totalsRowShown="0">
  <autoFilter ref="A140:D148"/>
  <tableColumns count="4">
    <tableColumn id="1" name="Item" dataDxfId="195"/>
    <tableColumn id="2" name="Mão de obra vinculada à execução contratual" dataDxfId="196"/>
    <tableColumn id="3" name="-" dataDxfId="197"/>
    <tableColumn id="4" name="Valor" dataDxfId="198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50" name="Módulo358_5710451" displayName="Módulo358_5710451" ref="A76:D83" totalsRowCount="1">
  <autoFilter ref="A76:D82"/>
  <tableColumns count="4">
    <tableColumn id="1" name="3" totalsRowLabel="Total" dataDxfId="199"/>
    <tableColumn id="2" name="Provisão para Rescisão" dataDxfId="200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51" name="ResumoMódulo257_6011352" displayName="ResumoMódulo257_6011352" ref="A69:D73" totalsRowCount="1">
  <autoFilter ref="A69:D72"/>
  <tableColumns count="4">
    <tableColumn id="1" name="2" totalsRowLabel="Total" dataDxfId="201"/>
    <tableColumn id="2" name="Encargos e Benefícios Anuais, Mensais e Diários" dataDxfId="202"/>
    <tableColumn id="3" name="Comentário" dataDxfId="203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52" name="Submódulo2.255_6311453" displayName="Submódulo2.255_6311453" ref="A46:D55" totalsRowCount="1">
  <autoFilter ref="A46:D54"/>
  <tableColumns count="4">
    <tableColumn id="1" name="2.2" totalsRowLabel="Total" dataDxfId="204"/>
    <tableColumn id="2" name="GPS, FGTS e outras contribuições" dataDxfId="205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3" name="Módulo562_5811654" displayName="Módulo562_5811654" ref="A113:D119" totalsRowCount="1">
  <autoFilter ref="A113:D118"/>
  <tableColumns count="4">
    <tableColumn id="1" name="5" totalsRowLabel="Total" dataDxfId="206"/>
    <tableColumn id="2" name="Insumos Diversos" dataDxfId="207"/>
    <tableColumn id="3" name="Comentário" dataDxfId="208"/>
    <tableColumn id="4" name="Valor" totalsRowFunction="sum" dataDxfId="209"/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54" name="Módulo663_5910555" displayName="Módulo663_5910555" ref="A129:D136" totalsRowCount="1">
  <tableColumns count="4">
    <tableColumn id="1" name="6" totalsRowLabel="Total" dataDxfId="210"/>
    <tableColumn id="2" name="Custos Indiretos, Tributos e Lucro" dataDxfId="211"/>
    <tableColumn id="3" name="Percentual" dataDxfId="212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55" name="ResumoMódulo461_6211556" displayName="ResumoMódulo461_6211556" ref="A107:D110" totalsRowCount="1">
  <autoFilter ref="A107:D109"/>
  <tableColumns count="4">
    <tableColumn id="1" name="4" totalsRowLabel="Total" dataDxfId="213"/>
    <tableColumn id="2" name="Custo de Reposição do Profissional Ausente" dataDxfId="214"/>
    <tableColumn id="3" name="Comentário" totalsRowLabel="*Nota: Se o titular USUFRUIR do descanso intrajornada, o total é o somatório dos subitens 4.1 e 4.2" dataDxfId="21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56" name="Submódulo4.260_5510757" displayName="Submódulo4.260_5510757" ref="A102:D104" totalsRowCount="1">
  <autoFilter ref="A102:D103"/>
  <tableColumns count="4">
    <tableColumn id="1" name="4.2" totalsRowLabel="Total" dataDxfId="216"/>
    <tableColumn id="2" name="Substituto na Intrajornada " dataDxfId="217"/>
    <tableColumn id="3" name="Comentário" dataDxfId="218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57" name="Submódulo2.154_6111158" displayName="Submódulo2.154_6111158" ref="A36:D39" totalsRowCount="1">
  <autoFilter ref="A36:D38"/>
  <tableColumns count="4">
    <tableColumn id="1" name="2.1" totalsRowLabel="Total" dataDxfId="219"/>
    <tableColumn id="2" name="13º (décimo terceiro) Salário, Férias e Adicional de Férias" dataDxfId="220"/>
    <tableColumn id="3" name="Percentual" dataDxfId="221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58" name="Submódulo4.159_5411059" displayName="Submódulo4.159_5411059" ref="A92:D99" totalsRowCount="1">
  <autoFilter ref="A92:D98"/>
  <tableColumns count="4">
    <tableColumn id="1" name="4.1" totalsRowLabel="Total" dataDxfId="222"/>
    <tableColumn id="2" name="Substituto nas Ausências Legais" dataDxfId="223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59" name="Módulo153_5210960" displayName="Módulo153_5210960" ref="A24:D31" totalsRowCount="1">
  <autoFilter ref="A24:D30"/>
  <tableColumns count="4">
    <tableColumn id="1" name="1" totalsRowLabel="Total" dataDxfId="224"/>
    <tableColumn id="2" name="Composição da Remuneração" dataDxfId="225"/>
    <tableColumn id="3" name="Comentário" dataDxfId="226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60" name="Submódulo2.356_5311261" displayName="Submódulo2.356_5311261" ref="A58:D66" totalsRowCount="1">
  <autoFilter ref="A58:D65"/>
  <tableColumns count="4">
    <tableColumn id="1" name="2.3" totalsRowLabel="Total" dataDxfId="227"/>
    <tableColumn id="2" name="Benefícios Mensais e Diários" dataDxfId="228"/>
    <tableColumn id="3" name="Comentário" dataDxfId="229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61" name="Table452_5610662" displayName="Table452_5610662" ref="A16:D21" totalsRowShown="0">
  <tableColumns count="4">
    <tableColumn id="1" name="Item" dataDxfId="230"/>
    <tableColumn id="2" name="Descrição" dataDxfId="231"/>
    <tableColumn id="3" name="Comentário" dataDxfId="232"/>
    <tableColumn id="4" name="Valor" dataDxfId="233"/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62" name="ResumoPosto64_6410863" displayName="ResumoPosto64_6410863" ref="A140:D148" totalsRowShown="0">
  <autoFilter ref="A140:D148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63" name="Módulo358_571047864" displayName="Módulo358_571047864" ref="A76:D83" totalsRowCount="1">
  <autoFilter ref="A76:D82"/>
  <tableColumns count="4">
    <tableColumn id="1" name="3" totalsRowLabel="Total"/>
    <tableColumn id="2" name="Provisão para Rescisão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65" name="Submódulo2.356_531128866" displayName="Submódulo2.356_531128866" ref="A58:D66" totalsRowCount="1">
  <autoFilter ref="A58:D65"/>
  <tableColumns count="4">
    <tableColumn id="1" name="2.3" totalsRowLabel="Total"/>
    <tableColumn id="2" name="Benefícios Mensais e Diários"/>
    <tableColumn id="3" name="Comentário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66" name="Table452_561068967" displayName="Table452_561068967" ref="A16:D21" totalsRowShown="0">
  <tableColumns count="4">
    <tableColumn id="1" name="Item"/>
    <tableColumn id="2" name="Descrição"/>
    <tableColumn id="3" name="Comentário"/>
    <tableColumn id="4" name="Valor"/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67" name="Módulo153_521098768" displayName="Módulo153_521098768" ref="A24:D31" totalsRowCount="1">
  <autoFilter ref="A24:D30"/>
  <tableColumns count="4">
    <tableColumn id="1" name="1" totalsRowLabel="Total"/>
    <tableColumn id="2" name="Composição da Remuneração"/>
    <tableColumn id="3" name="Comentário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68" name="ResumoMódulo257_601137969" displayName="ResumoMódulo257_601137969" ref="A69:D73" totalsRowCount="1">
  <autoFilter ref="A69:D72"/>
  <tableColumns count="4">
    <tableColumn id="1" name="2" totalsRowLabel="Total"/>
    <tableColumn id="2" name="Encargos e Benefícios Anuais, Mensais e Diários"/>
    <tableColumn id="3" name="Comentário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69" name="Módulo562_581168170" displayName="Módulo562_581168170" ref="A113:D119" totalsRowCount="1">
  <autoFilter ref="A113:D118"/>
  <tableColumns count="4">
    <tableColumn id="1" name="5" totalsRowLabel="Total"/>
    <tableColumn id="2" name="Insumos Diversos"/>
    <tableColumn id="3" name="Comentário"/>
    <tableColumn id="4" name="Valor" totalsRowFunction="sum"/>
  </tableColumns>
  <tableStyleInfo showFirstColumn="0" showLastColumn="0" showRowStripes="1" showColumnStripes="0"/>
</table>
</file>

<file path=xl/tables/table81.xml><?xml version="1.0" encoding="utf-8"?>
<table xmlns="http://schemas.openxmlformats.org/spreadsheetml/2006/main" id="70" name="Módulo663_591058271" displayName="Módulo663_591058271" ref="A129:D136" totalsRowCount="1">
  <tableColumns count="4">
    <tableColumn id="1" name="6" totalsRowLabel="Total"/>
    <tableColumn id="2" name="Custos Indiretos, Tributos e Lucro"/>
    <tableColumn id="3" name="Percentual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82.xml><?xml version="1.0" encoding="utf-8"?>
<table xmlns="http://schemas.openxmlformats.org/spreadsheetml/2006/main" id="71" name="ResumoMódulo461_621158372" displayName="ResumoMódulo461_621158372" ref="A107:D110" totalsRowCount="1">
  <autoFilter ref="A107:D109"/>
  <tableColumns count="4">
    <tableColumn id="1" name="4" totalsRowLabel="Total"/>
    <tableColumn id="2" name="Custo de Reposição do Profissional Ausente"/>
    <tableColumn id="3" name="Comentário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83.xml><?xml version="1.0" encoding="utf-8"?>
<table xmlns="http://schemas.openxmlformats.org/spreadsheetml/2006/main" id="72" name="ResumoPosto64_641089073" displayName="ResumoPosto64_641089073" ref="A140:D148" totalsRowShown="0">
  <autoFilter ref="A140:D148"/>
  <tableColumns count="4">
    <tableColumn id="1" name="Item"/>
    <tableColumn id="2" name="Mão de obra vinculada à execução contratual"/>
    <tableColumn id="3" name="-"/>
    <tableColumn id="4" name="Valor"/>
  </tableColumns>
  <tableStyleInfo showFirstColumn="0" showLastColumn="0" showRowStripes="1" showColumnStripes="0"/>
</table>
</file>

<file path=xl/tables/table84.xml><?xml version="1.0" encoding="utf-8"?>
<table xmlns="http://schemas.openxmlformats.org/spreadsheetml/2006/main" id="73" name="Submódulo2.255_631148074" displayName="Submódulo2.255_631148074" ref="A46:D55" totalsRowCount="1">
  <autoFilter ref="A46:D54"/>
  <tableColumns count="4">
    <tableColumn id="1" name="2.2" totalsRowLabel="Total"/>
    <tableColumn id="2" name="GPS, FGTS e outras contribuições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85.xml><?xml version="1.0" encoding="utf-8"?>
<table xmlns="http://schemas.openxmlformats.org/spreadsheetml/2006/main" id="74" name="Submódulo4.260_551078475" displayName="Submódulo4.260_551078475" ref="A102:D104" totalsRowCount="1">
  <autoFilter ref="A102:D103"/>
  <tableColumns count="4">
    <tableColumn id="1" name="4.2" totalsRowLabel="Total"/>
    <tableColumn id="2" name="Substituto na Intrajornada "/>
    <tableColumn id="3" name="Comentário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86.xml><?xml version="1.0" encoding="utf-8"?>
<table xmlns="http://schemas.openxmlformats.org/spreadsheetml/2006/main" id="75" name="Submódulo2.154_611118576" displayName="Submódulo2.154_611118576" ref="A36:D39" totalsRowCount="1">
  <autoFilter ref="A36:D38"/>
  <tableColumns count="4">
    <tableColumn id="1" name="2.1" totalsRowLabel="Total"/>
    <tableColumn id="2" name="13º (décimo terceiro) Salário, Férias e Adicional de Férias"/>
    <tableColumn id="3" name="Percentual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87.xml><?xml version="1.0" encoding="utf-8"?>
<table xmlns="http://schemas.openxmlformats.org/spreadsheetml/2006/main" id="76" name="Submódulo4.159_541108677" displayName="Submódulo4.159_541108677" ref="A92:D99" totalsRowCount="1">
  <autoFilter ref="A92:D98"/>
  <tableColumns count="4">
    <tableColumn id="1" name="4.1" totalsRowLabel="Total"/>
    <tableColumn id="2" name="Substituto nas Ausências Legais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88.xml><?xml version="1.0" encoding="utf-8"?>
<table xmlns="http://schemas.openxmlformats.org/spreadsheetml/2006/main" id="77" name="Módulo358_5710478" displayName="Módulo358_5710478" ref="A76:D83" totalsRowCount="1">
  <autoFilter ref="A76:D82"/>
  <tableColumns count="4">
    <tableColumn id="1" name="3" totalsRowLabel="Total" dataDxfId="238"/>
    <tableColumn id="2" name="Provisão para Rescisão" dataDxfId="239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89.xml><?xml version="1.0" encoding="utf-8"?>
<table xmlns="http://schemas.openxmlformats.org/spreadsheetml/2006/main" id="78" name="ResumoMódulo257_6011379" displayName="ResumoMódulo257_6011379" ref="A69:D73" totalsRowCount="1">
  <autoFilter ref="A69:D72"/>
  <tableColumns count="4">
    <tableColumn id="1" name="2" totalsRowLabel="Total" dataDxfId="240"/>
    <tableColumn id="2" name="Encargos e Benefícios Anuais, Mensais e Diários" dataDxfId="241"/>
    <tableColumn id="3" name="Comentário" dataDxfId="242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ables/table90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243"/>
    <tableColumn id="2" name="GPS, FGTS e outras contribuições" dataDxfId="244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91.xml><?xml version="1.0" encoding="utf-8"?>
<table xmlns="http://schemas.openxmlformats.org/spreadsheetml/2006/main" id="80" name="Módulo562_5811681" displayName="Módulo562_5811681" ref="A113:D119" totalsRowCount="1">
  <autoFilter ref="A113:D118"/>
  <tableColumns count="4">
    <tableColumn id="1" name="5" totalsRowLabel="Total" dataDxfId="245"/>
    <tableColumn id="2" name="Insumos Diversos" dataDxfId="246"/>
    <tableColumn id="3" name="Comentário" dataDxfId="247"/>
    <tableColumn id="4" name="Valor" totalsRowFunction="sum" dataDxfId="248"/>
  </tableColumns>
  <tableStyleInfo showFirstColumn="0" showLastColumn="0" showRowStripes="1" showColumnStripes="0"/>
</table>
</file>

<file path=xl/tables/table92.xml><?xml version="1.0" encoding="utf-8"?>
<table xmlns="http://schemas.openxmlformats.org/spreadsheetml/2006/main" id="81" name="Módulo663_5910582" displayName="Módulo663_5910582" ref="A129:D136" totalsRowCount="1">
  <tableColumns count="4">
    <tableColumn id="1" name="6" totalsRowLabel="Total" dataDxfId="249"/>
    <tableColumn id="2" name="Custos Indiretos, Tributos e Lucro" dataDxfId="250"/>
    <tableColumn id="3" name="Percentual" dataDxfId="251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93.xml><?xml version="1.0" encoding="utf-8"?>
<table xmlns="http://schemas.openxmlformats.org/spreadsheetml/2006/main" id="82" name="ResumoMódulo461_6211583" displayName="ResumoMódulo461_6211583" ref="A107:D110" totalsRowCount="1">
  <autoFilter ref="A107:D109"/>
  <tableColumns count="4">
    <tableColumn id="1" name="4" totalsRowLabel="Total" dataDxfId="252"/>
    <tableColumn id="2" name="Custo de Reposição do Profissional Ausente" dataDxfId="253"/>
    <tableColumn id="3" name="Comentário" totalsRowLabel="*Nota: Se o titular USUFRUIR do descanso intrajornada, o total é o somatório dos subitens 4.1 e 4.2" dataDxfId="25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94.xml><?xml version="1.0" encoding="utf-8"?>
<table xmlns="http://schemas.openxmlformats.org/spreadsheetml/2006/main" id="83" name="Submódulo4.260_5510784" displayName="Submódulo4.260_5510784" ref="A102:D104" totalsRowCount="1">
  <autoFilter ref="A102:D103"/>
  <tableColumns count="4">
    <tableColumn id="1" name="4.2" totalsRowLabel="Total" dataDxfId="255"/>
    <tableColumn id="2" name="Substituto na Intrajornada " dataDxfId="256"/>
    <tableColumn id="3" name="Comentário" dataDxfId="257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95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258"/>
    <tableColumn id="2" name="13º (décimo terceiro) Salário, Férias e Adicional de Férias" dataDxfId="259"/>
    <tableColumn id="3" name="Percentual" dataDxfId="26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96.xml><?xml version="1.0" encoding="utf-8"?>
<table xmlns="http://schemas.openxmlformats.org/spreadsheetml/2006/main" id="85" name="Submódulo4.159_5411086" displayName="Submódulo4.159_5411086" ref="A92:D99" totalsRowCount="1">
  <autoFilter ref="A92:D98"/>
  <tableColumns count="4">
    <tableColumn id="1" name="4.1" totalsRowLabel="Total" dataDxfId="261"/>
    <tableColumn id="2" name="Substituto nas Ausências Legais" dataDxfId="26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97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263"/>
    <tableColumn id="2" name="Composição da Remuneração" dataDxfId="264"/>
    <tableColumn id="3" name="Comentário" dataDxfId="265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98.xml><?xml version="1.0" encoding="utf-8"?>
<table xmlns="http://schemas.openxmlformats.org/spreadsheetml/2006/main" id="87" name="Submódulo2.356_5311288" displayName="Submódulo2.356_5311288" ref="A58:D66" totalsRowCount="1">
  <autoFilter ref="A58:D65"/>
  <tableColumns count="4">
    <tableColumn id="1" name="2.3" totalsRowLabel="Total" dataDxfId="266"/>
    <tableColumn id="2" name="Benefícios Mensais e Diários" dataDxfId="267"/>
    <tableColumn id="3" name="Comentário" dataDxfId="26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99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269"/>
    <tableColumn id="2" name="Descrição" dataDxfId="270"/>
    <tableColumn id="3" name="Comentário" dataDxfId="271"/>
    <tableColumn id="4" name="Valor" dataDxfId="27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2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9" Type="http://schemas.openxmlformats.org/officeDocument/2006/relationships/table" Target="../tables/table83.xml"/><Relationship Id="rId8" Type="http://schemas.openxmlformats.org/officeDocument/2006/relationships/table" Target="../tables/table82.xml"/><Relationship Id="rId7" Type="http://schemas.openxmlformats.org/officeDocument/2006/relationships/table" Target="../tables/table81.xml"/><Relationship Id="rId6" Type="http://schemas.openxmlformats.org/officeDocument/2006/relationships/table" Target="../tables/table80.xml"/><Relationship Id="rId5" Type="http://schemas.openxmlformats.org/officeDocument/2006/relationships/table" Target="../tables/table79.xml"/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3" Type="http://schemas.openxmlformats.org/officeDocument/2006/relationships/table" Target="../tables/table87.xml"/><Relationship Id="rId12" Type="http://schemas.openxmlformats.org/officeDocument/2006/relationships/table" Target="../tables/table86.xml"/><Relationship Id="rId11" Type="http://schemas.openxmlformats.org/officeDocument/2006/relationships/table" Target="../tables/table85.xml"/><Relationship Id="rId10" Type="http://schemas.openxmlformats.org/officeDocument/2006/relationships/table" Target="../tables/table84.xml"/><Relationship Id="rId1" Type="http://schemas.openxmlformats.org/officeDocument/2006/relationships/table" Target="../tables/table75.xml"/></Relationships>
</file>

<file path=xl/worksheets/_rels/sheet8.xml.rels><?xml version="1.0" encoding="UTF-8" standalone="yes"?>
<Relationships xmlns="http://schemas.openxmlformats.org/package/2006/relationships"><Relationship Id="rId9" Type="http://schemas.openxmlformats.org/officeDocument/2006/relationships/table" Target="../tables/table96.xml"/><Relationship Id="rId8" Type="http://schemas.openxmlformats.org/officeDocument/2006/relationships/table" Target="../tables/table95.xml"/><Relationship Id="rId7" Type="http://schemas.openxmlformats.org/officeDocument/2006/relationships/table" Target="../tables/table94.xml"/><Relationship Id="rId6" Type="http://schemas.openxmlformats.org/officeDocument/2006/relationships/table" Target="../tables/table93.xml"/><Relationship Id="rId5" Type="http://schemas.openxmlformats.org/officeDocument/2006/relationships/table" Target="../tables/table92.xml"/><Relationship Id="rId4" Type="http://schemas.openxmlformats.org/officeDocument/2006/relationships/table" Target="../tables/table91.xml"/><Relationship Id="rId3" Type="http://schemas.openxmlformats.org/officeDocument/2006/relationships/table" Target="../tables/table90.xml"/><Relationship Id="rId2" Type="http://schemas.openxmlformats.org/officeDocument/2006/relationships/table" Target="../tables/table89.xml"/><Relationship Id="rId13" Type="http://schemas.openxmlformats.org/officeDocument/2006/relationships/table" Target="../tables/table100.xml"/><Relationship Id="rId12" Type="http://schemas.openxmlformats.org/officeDocument/2006/relationships/table" Target="../tables/table99.xml"/><Relationship Id="rId11" Type="http://schemas.openxmlformats.org/officeDocument/2006/relationships/table" Target="../tables/table98.xml"/><Relationship Id="rId10" Type="http://schemas.openxmlformats.org/officeDocument/2006/relationships/table" Target="../tables/table97.xml"/><Relationship Id="rId1" Type="http://schemas.openxmlformats.org/officeDocument/2006/relationships/table" Target="../tables/table8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4.4"/>
  <cols>
    <col min="1" max="1025" width="9" customWidth="1"/>
  </cols>
  <sheetData>
    <row r="1" spans="1:11">
      <c r="A1" s="182" t="s">
        <v>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ht="57" customHeight="1" spans="1:11">
      <c r="A2" s="183" t="s">
        <v>1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</row>
    <row r="3" ht="51" customHeight="1" spans="1:11">
      <c r="A3" s="183" t="s">
        <v>2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</row>
    <row r="4" ht="54.75" customHeight="1" spans="1:11">
      <c r="A4" s="183" t="s">
        <v>3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</row>
    <row r="5" ht="67.5" customHeight="1" spans="1:11">
      <c r="A5" s="184" t="s">
        <v>4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</row>
    <row r="6" ht="84.75" customHeight="1" spans="1:11">
      <c r="A6" s="184" t="s">
        <v>5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</row>
    <row r="7" ht="49.5" customHeight="1" spans="1:11">
      <c r="A7" s="184" t="s">
        <v>6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</row>
    <row r="8" ht="38.25" customHeight="1" spans="1:11">
      <c r="A8" s="184" t="s">
        <v>7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</row>
    <row r="9" ht="39.75" customHeight="1" spans="1:11">
      <c r="A9" s="183" t="s">
        <v>8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</row>
    <row r="10" ht="41.25" customHeight="1" spans="1:11">
      <c r="A10" s="183" t="s">
        <v>9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</row>
    <row r="11" ht="41.25" customHeight="1" spans="1:11">
      <c r="A11" s="185" t="s">
        <v>10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</row>
    <row r="12" spans="1:11">
      <c r="A12" s="186" t="s">
        <v>11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</row>
    <row r="13" spans="1:11">
      <c r="A13" s="187" t="s">
        <v>12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</row>
    <row r="14" spans="1:11">
      <c r="A14" s="187" t="s">
        <v>13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B12" sqref="B12:D12"/>
    </sheetView>
  </sheetViews>
  <sheetFormatPr defaultColWidth="9.13888888888889" defaultRowHeight="14.4"/>
  <cols>
    <col min="2" max="2" width="31.712962962963" customWidth="1"/>
    <col min="3" max="3" width="19.8611111111111" customWidth="1"/>
    <col min="4" max="4" width="18.287037037037" customWidth="1"/>
    <col min="5" max="5" width="18.1388888888889" customWidth="1"/>
    <col min="9" max="9" width="23.8611111111111" customWidth="1"/>
    <col min="10" max="10" width="11" customWidth="1"/>
  </cols>
  <sheetData>
    <row r="1" ht="16.35" spans="2:10">
      <c r="B1" s="14" t="s">
        <v>270</v>
      </c>
      <c r="C1" s="15"/>
      <c r="D1" s="15"/>
      <c r="E1" s="16"/>
      <c r="F1" s="11"/>
      <c r="G1" s="11"/>
      <c r="H1" s="11"/>
      <c r="I1" s="11"/>
      <c r="J1" s="11"/>
    </row>
    <row r="2" ht="32.7" spans="2:10">
      <c r="B2" s="17" t="s">
        <v>271</v>
      </c>
      <c r="C2" s="18" t="s">
        <v>272</v>
      </c>
      <c r="D2" s="19" t="s">
        <v>273</v>
      </c>
      <c r="E2" s="20"/>
      <c r="F2" s="11"/>
      <c r="G2" s="11"/>
      <c r="H2" s="11"/>
      <c r="I2" s="11"/>
      <c r="J2" s="11"/>
    </row>
    <row r="3" ht="17.1" spans="2:10">
      <c r="B3" s="21" t="s">
        <v>274</v>
      </c>
      <c r="C3" s="22" t="s">
        <v>275</v>
      </c>
      <c r="D3" s="23" t="s">
        <v>276</v>
      </c>
      <c r="E3" s="24"/>
      <c r="F3" s="11"/>
      <c r="G3" s="11"/>
      <c r="H3" s="11"/>
      <c r="I3" s="11"/>
      <c r="J3" s="11"/>
    </row>
    <row r="4" ht="17.1" spans="2:10">
      <c r="B4" s="25">
        <f>RESUMO!D9</f>
        <v>20</v>
      </c>
      <c r="C4" s="26">
        <f>E19</f>
        <v>196.16</v>
      </c>
      <c r="D4" s="27">
        <f>TRUNC((B4*C4),2)</f>
        <v>3923.2</v>
      </c>
      <c r="E4" s="28"/>
      <c r="F4" s="11"/>
      <c r="G4" s="11"/>
      <c r="H4" s="29"/>
      <c r="I4" s="29"/>
      <c r="J4" s="29"/>
    </row>
    <row r="5" ht="17.1" spans="2:10">
      <c r="B5" s="30"/>
      <c r="C5" s="31"/>
      <c r="D5" s="31"/>
      <c r="E5" s="32"/>
      <c r="F5" s="11"/>
      <c r="G5" s="11"/>
      <c r="H5" s="29"/>
      <c r="I5" s="64" t="s">
        <v>224</v>
      </c>
      <c r="J5" s="65"/>
    </row>
    <row r="6" ht="17.1" spans="2:10">
      <c r="B6" s="30"/>
      <c r="C6" s="31"/>
      <c r="D6" s="31"/>
      <c r="E6" s="32"/>
      <c r="F6" s="11"/>
      <c r="G6" s="11"/>
      <c r="H6" s="29"/>
      <c r="I6" s="66" t="s">
        <v>225</v>
      </c>
      <c r="J6" s="67">
        <f>D18</f>
        <v>0.0865</v>
      </c>
    </row>
    <row r="7" ht="16.35" spans="2:10">
      <c r="B7" s="14" t="s">
        <v>277</v>
      </c>
      <c r="C7" s="15"/>
      <c r="D7" s="15"/>
      <c r="E7" s="16"/>
      <c r="F7" s="11"/>
      <c r="G7" s="11"/>
      <c r="H7" s="29"/>
      <c r="I7" s="68" t="s">
        <v>278</v>
      </c>
      <c r="J7" s="69">
        <f>E13</f>
        <v>179.2</v>
      </c>
    </row>
    <row r="8" ht="17.1" spans="2:10">
      <c r="B8" s="18" t="s">
        <v>279</v>
      </c>
      <c r="C8" s="18"/>
      <c r="D8" s="18"/>
      <c r="E8" s="33">
        <v>160</v>
      </c>
      <c r="F8" s="11"/>
      <c r="G8" s="11"/>
      <c r="H8" s="29"/>
      <c r="I8" s="66" t="s">
        <v>280</v>
      </c>
      <c r="J8" s="70">
        <f>(1-J6)</f>
        <v>0.9135</v>
      </c>
    </row>
    <row r="9" ht="16.35" spans="2:10">
      <c r="B9" s="34" t="s">
        <v>281</v>
      </c>
      <c r="C9" s="35"/>
      <c r="D9" s="36" t="s">
        <v>282</v>
      </c>
      <c r="E9" s="37" t="s">
        <v>283</v>
      </c>
      <c r="F9" s="11"/>
      <c r="G9" s="11"/>
      <c r="H9" s="29"/>
      <c r="I9" s="71"/>
      <c r="J9" s="71"/>
    </row>
    <row r="10" ht="15.6" spans="2:10">
      <c r="B10" s="38" t="s">
        <v>284</v>
      </c>
      <c r="C10" s="39"/>
      <c r="D10" s="40">
        <v>0.05</v>
      </c>
      <c r="E10" s="41">
        <f>TRUNC((E8*D10),2)</f>
        <v>8</v>
      </c>
      <c r="F10" s="11"/>
      <c r="G10" s="11"/>
      <c r="H10" s="29"/>
      <c r="I10" s="71"/>
      <c r="J10" s="71"/>
    </row>
    <row r="11" ht="16.35" spans="2:10">
      <c r="B11" s="42" t="s">
        <v>285</v>
      </c>
      <c r="C11" s="43"/>
      <c r="D11" s="40">
        <v>0.07</v>
      </c>
      <c r="E11" s="41">
        <f>TRUNC((E8*D11),2)</f>
        <v>11.2</v>
      </c>
      <c r="F11" s="11"/>
      <c r="G11" s="11"/>
      <c r="H11" s="29"/>
      <c r="I11" s="29"/>
      <c r="J11" s="29"/>
    </row>
    <row r="12" ht="17.1" spans="2:10">
      <c r="B12" s="44" t="s">
        <v>286</v>
      </c>
      <c r="C12" s="19"/>
      <c r="D12" s="20"/>
      <c r="E12" s="45">
        <f>TRUNC((SUM(E10:E11)),2)</f>
        <v>19.2</v>
      </c>
      <c r="F12" s="11"/>
      <c r="G12" s="11"/>
      <c r="H12" s="29"/>
      <c r="I12" s="29"/>
      <c r="J12" s="29"/>
    </row>
    <row r="13" ht="17.1" spans="2:10">
      <c r="B13" s="46" t="s">
        <v>204</v>
      </c>
      <c r="C13" s="47"/>
      <c r="D13" s="48"/>
      <c r="E13" s="45">
        <f>TRUNC((E8+E12),2)</f>
        <v>179.2</v>
      </c>
      <c r="F13" s="11"/>
      <c r="G13" s="11"/>
      <c r="H13" s="29"/>
      <c r="I13" s="29"/>
      <c r="J13" s="29"/>
    </row>
    <row r="14" ht="16.35" spans="2:10">
      <c r="B14" s="49" t="s">
        <v>287</v>
      </c>
      <c r="C14" s="50"/>
      <c r="D14" s="51" t="s">
        <v>282</v>
      </c>
      <c r="E14" s="52" t="s">
        <v>288</v>
      </c>
      <c r="F14" s="11"/>
      <c r="G14" s="11"/>
      <c r="H14" s="11"/>
      <c r="I14" s="11"/>
      <c r="J14" s="11"/>
    </row>
    <row r="15" ht="15.6" spans="2:10">
      <c r="B15" s="38" t="s">
        <v>64</v>
      </c>
      <c r="C15" s="39"/>
      <c r="D15" s="40">
        <f>'[1]Motorista Interestadual'!C132</f>
        <v>0.0065</v>
      </c>
      <c r="E15" s="41">
        <f>(J7/J8)*(D15)</f>
        <v>1.27509578544061</v>
      </c>
      <c r="F15" s="11"/>
      <c r="G15" s="11"/>
      <c r="H15" s="11"/>
      <c r="I15" s="11"/>
      <c r="J15" s="11"/>
    </row>
    <row r="16" ht="15.6" spans="2:10">
      <c r="B16" s="42" t="s">
        <v>62</v>
      </c>
      <c r="C16" s="43"/>
      <c r="D16" s="40">
        <f>'[1]Motorista Interestadual'!C133</f>
        <v>0.03</v>
      </c>
      <c r="E16" s="41">
        <f>(J7/J8)*(D16)</f>
        <v>5.88505747126437</v>
      </c>
      <c r="F16" s="11"/>
      <c r="G16" s="11"/>
      <c r="H16" s="11"/>
      <c r="I16" s="11"/>
      <c r="J16" s="11"/>
    </row>
    <row r="17" ht="15.6" spans="2:10">
      <c r="B17" s="38" t="s">
        <v>60</v>
      </c>
      <c r="C17" s="39"/>
      <c r="D17" s="40">
        <f>'[1]Motorista Interestadual'!C134</f>
        <v>0.05</v>
      </c>
      <c r="E17" s="53">
        <f>(E13/J8)*(D17)</f>
        <v>9.80842911877395</v>
      </c>
      <c r="F17" s="11"/>
      <c r="G17" s="11"/>
      <c r="H17" s="11"/>
      <c r="I17" s="11"/>
      <c r="J17" s="11"/>
    </row>
    <row r="18" ht="16.35" spans="2:10">
      <c r="B18" s="54" t="s">
        <v>225</v>
      </c>
      <c r="C18" s="55"/>
      <c r="D18" s="56">
        <f>SUM(D15:D17)</f>
        <v>0.0865</v>
      </c>
      <c r="E18" s="57">
        <f>SUM(E15:E17)</f>
        <v>16.9685823754789</v>
      </c>
      <c r="F18" s="11"/>
      <c r="G18" s="11"/>
      <c r="H18" s="11"/>
      <c r="I18" s="11"/>
      <c r="J18" s="11"/>
    </row>
    <row r="19" ht="17.1" spans="2:10">
      <c r="B19" s="58" t="s">
        <v>204</v>
      </c>
      <c r="C19" s="59"/>
      <c r="D19" s="60"/>
      <c r="E19" s="61">
        <f>TRUNC((E13+E18),2)</f>
        <v>196.16</v>
      </c>
      <c r="F19" s="11"/>
      <c r="G19" s="11"/>
      <c r="H19" s="11"/>
      <c r="I19" s="11"/>
      <c r="J19" s="11"/>
    </row>
    <row r="20" ht="15.15" spans="2:10">
      <c r="B20" s="62"/>
      <c r="C20" s="62"/>
      <c r="D20" s="62"/>
      <c r="E20" s="62"/>
      <c r="F20" s="11"/>
      <c r="G20" s="11"/>
      <c r="H20" s="11"/>
      <c r="I20" s="11"/>
      <c r="J20" s="11"/>
    </row>
    <row r="21" ht="54" customHeight="1" spans="2:10">
      <c r="B21" s="63" t="s">
        <v>289</v>
      </c>
      <c r="C21" s="63"/>
      <c r="D21" s="63"/>
      <c r="E21" s="63"/>
      <c r="F21" s="11"/>
      <c r="G21" s="11"/>
      <c r="H21" s="11"/>
      <c r="I21" s="11"/>
      <c r="J21" s="11"/>
    </row>
    <row r="22" spans="2:10">
      <c r="B22" s="63" t="s">
        <v>290</v>
      </c>
      <c r="C22" s="63"/>
      <c r="D22" s="63"/>
      <c r="E22" s="63"/>
      <c r="F22" s="11"/>
      <c r="G22" s="11"/>
      <c r="H22" s="11"/>
      <c r="I22" s="11"/>
      <c r="J22" s="11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tabSelected="1" workbookViewId="0">
      <selection activeCell="K7" sqref="K7"/>
    </sheetView>
  </sheetViews>
  <sheetFormatPr defaultColWidth="8.88888888888889" defaultRowHeight="14.4"/>
  <cols>
    <col min="2" max="2" width="32.1388888888889" customWidth="1"/>
    <col min="3" max="3" width="9.33333333333333" customWidth="1"/>
    <col min="4" max="4" width="14.2222222222222" customWidth="1"/>
    <col min="5" max="5" width="13.3333333333333" customWidth="1"/>
    <col min="6" max="6" width="14.8888888888889" customWidth="1"/>
    <col min="7" max="7" width="15" customWidth="1"/>
    <col min="9" max="9" width="12.5555555555556"/>
  </cols>
  <sheetData>
    <row r="1" ht="15.15" spans="1:7">
      <c r="A1" s="1" t="s">
        <v>291</v>
      </c>
      <c r="B1" s="2"/>
      <c r="C1" s="2"/>
      <c r="D1" s="2"/>
      <c r="E1" s="2"/>
      <c r="F1" s="2"/>
      <c r="G1" s="3"/>
    </row>
    <row r="2" ht="58.35" spans="1:7">
      <c r="A2" s="4" t="s">
        <v>16</v>
      </c>
      <c r="B2" s="4" t="s">
        <v>17</v>
      </c>
      <c r="C2" s="4" t="s">
        <v>257</v>
      </c>
      <c r="D2" s="4" t="s">
        <v>292</v>
      </c>
      <c r="E2" s="4" t="s">
        <v>293</v>
      </c>
      <c r="F2" s="4" t="s">
        <v>294</v>
      </c>
      <c r="G2" s="4" t="s">
        <v>295</v>
      </c>
    </row>
    <row r="3" ht="72" spans="1:9">
      <c r="A3" s="4">
        <v>87</v>
      </c>
      <c r="B3" s="5" t="s">
        <v>296</v>
      </c>
      <c r="C3" s="4" t="s">
        <v>297</v>
      </c>
      <c r="D3" s="4">
        <v>6</v>
      </c>
      <c r="E3" s="4">
        <v>12</v>
      </c>
      <c r="F3" s="6">
        <f>'Tradutor-Intérprete'!D148</f>
        <v>7457.07</v>
      </c>
      <c r="G3" s="7">
        <f t="shared" ref="G3:G8" si="0">(D3*F3)*(E3)</f>
        <v>536909.04</v>
      </c>
      <c r="I3" s="13"/>
    </row>
    <row r="4" ht="72" spans="1:9">
      <c r="A4" s="8">
        <v>88</v>
      </c>
      <c r="B4" s="9" t="s">
        <v>298</v>
      </c>
      <c r="C4" s="4" t="s">
        <v>297</v>
      </c>
      <c r="D4" s="8">
        <v>2</v>
      </c>
      <c r="E4" s="8">
        <v>12</v>
      </c>
      <c r="F4" s="7">
        <f>'Transcritor Braille'!D148</f>
        <v>5149.42</v>
      </c>
      <c r="G4" s="7">
        <f t="shared" si="0"/>
        <v>123586.08</v>
      </c>
      <c r="I4" s="13"/>
    </row>
    <row r="5" ht="72" spans="1:9">
      <c r="A5" s="4">
        <v>89</v>
      </c>
      <c r="B5" s="5" t="s">
        <v>299</v>
      </c>
      <c r="C5" s="4" t="s">
        <v>297</v>
      </c>
      <c r="D5" s="4">
        <v>3</v>
      </c>
      <c r="E5" s="4">
        <v>12</v>
      </c>
      <c r="F5" s="6">
        <f>Cuidador!D148</f>
        <v>5149.42</v>
      </c>
      <c r="G5" s="7">
        <f>(D5*F5)*(E5)</f>
        <v>185379.12</v>
      </c>
      <c r="I5" s="13"/>
    </row>
    <row r="6" ht="72" spans="1:9">
      <c r="A6" s="8">
        <v>90</v>
      </c>
      <c r="B6" s="5" t="s">
        <v>300</v>
      </c>
      <c r="C6" s="4" t="s">
        <v>297</v>
      </c>
      <c r="D6" s="4">
        <v>3</v>
      </c>
      <c r="E6" s="4">
        <v>12</v>
      </c>
      <c r="F6" s="6">
        <f>Audiodescritor!D148</f>
        <v>7457.07</v>
      </c>
      <c r="G6" s="7">
        <f>(D6*F6)*(E6)</f>
        <v>268454.52</v>
      </c>
      <c r="I6" s="13"/>
    </row>
    <row r="7" ht="72" spans="1:9">
      <c r="A7" s="4">
        <v>91</v>
      </c>
      <c r="B7" s="9" t="s">
        <v>301</v>
      </c>
      <c r="C7" s="4" t="s">
        <v>297</v>
      </c>
      <c r="D7" s="8">
        <v>2</v>
      </c>
      <c r="E7" s="8">
        <v>12</v>
      </c>
      <c r="F7" s="7">
        <f>Alfabetizador!D148</f>
        <v>7457.07</v>
      </c>
      <c r="G7" s="7">
        <f t="shared" si="0"/>
        <v>178969.68</v>
      </c>
      <c r="I7" s="13"/>
    </row>
    <row r="8" ht="86.4" spans="1:9">
      <c r="A8" s="8">
        <v>92</v>
      </c>
      <c r="B8" s="9" t="s">
        <v>302</v>
      </c>
      <c r="C8" s="4" t="s">
        <v>297</v>
      </c>
      <c r="D8" s="8">
        <v>2</v>
      </c>
      <c r="E8" s="8">
        <v>12</v>
      </c>
      <c r="F8" s="7">
        <f>Psicopedagogo!D148</f>
        <v>7457.07</v>
      </c>
      <c r="G8" s="7">
        <f t="shared" si="0"/>
        <v>178969.68</v>
      </c>
      <c r="I8" s="13"/>
    </row>
    <row r="9" ht="20" customHeight="1" spans="1:7">
      <c r="A9" s="4">
        <v>93</v>
      </c>
      <c r="B9" s="4" t="s">
        <v>303</v>
      </c>
      <c r="C9" s="8" t="s">
        <v>304</v>
      </c>
      <c r="D9" s="8">
        <v>20</v>
      </c>
      <c r="E9" s="8" t="s">
        <v>102</v>
      </c>
      <c r="F9" s="10">
        <f>Diárias!E19</f>
        <v>196.16</v>
      </c>
      <c r="G9" s="7">
        <f>(D9)*(F9)</f>
        <v>3923.2</v>
      </c>
    </row>
    <row r="10" spans="1:7">
      <c r="A10" s="11" t="s">
        <v>204</v>
      </c>
      <c r="B10" s="11"/>
      <c r="C10" s="11"/>
      <c r="D10" s="11"/>
      <c r="E10" s="11"/>
      <c r="F10" s="11"/>
      <c r="G10" s="7">
        <f>SUM(G3:G9)</f>
        <v>1476191.32</v>
      </c>
    </row>
    <row r="11" spans="1:7">
      <c r="A11" s="12"/>
      <c r="B11" s="12"/>
      <c r="C11" s="12"/>
      <c r="D11" s="12"/>
      <c r="E11" s="12"/>
      <c r="F11" s="12"/>
      <c r="G11" s="12"/>
    </row>
    <row r="12" spans="1:7">
      <c r="A12" s="11"/>
      <c r="B12" s="11"/>
      <c r="C12" s="11"/>
      <c r="D12" s="11"/>
      <c r="E12" s="11"/>
      <c r="F12" s="11"/>
      <c r="G12" s="11"/>
    </row>
    <row r="13" spans="1:7">
      <c r="A13" s="11"/>
      <c r="B13" s="11"/>
      <c r="C13" s="11"/>
      <c r="D13" s="11"/>
      <c r="E13" s="11"/>
      <c r="F13" s="11"/>
      <c r="G13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4.4"/>
  <cols>
    <col min="1" max="1" width="12.4166666666667" customWidth="1"/>
    <col min="2" max="2" width="76.4074074074074" customWidth="1"/>
    <col min="3" max="3" width="28.4166666666667" customWidth="1"/>
    <col min="4" max="4" width="27.4166666666667" customWidth="1"/>
    <col min="5" max="5" width="9" customWidth="1"/>
    <col min="6" max="6" width="32.712962962963" customWidth="1"/>
    <col min="7" max="7" width="13.0185185185185" customWidth="1"/>
    <col min="8" max="1025" width="9" customWidth="1"/>
  </cols>
  <sheetData>
    <row r="1" spans="1:21">
      <c r="A1" s="168" t="s">
        <v>14</v>
      </c>
      <c r="B1" s="168"/>
      <c r="C1" s="168"/>
      <c r="D1" s="168"/>
      <c r="F1" s="114" t="s">
        <v>15</v>
      </c>
      <c r="G1" s="114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</row>
    <row r="2" spans="1:21">
      <c r="A2" s="115" t="s">
        <v>16</v>
      </c>
      <c r="B2" t="s">
        <v>17</v>
      </c>
      <c r="C2" s="115" t="s">
        <v>18</v>
      </c>
      <c r="D2" s="115" t="s">
        <v>19</v>
      </c>
      <c r="F2" s="120" t="s">
        <v>17</v>
      </c>
      <c r="G2" s="120" t="s">
        <v>19</v>
      </c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1:21">
      <c r="A3" s="115">
        <v>1</v>
      </c>
      <c r="B3" t="s">
        <v>20</v>
      </c>
      <c r="C3" s="115"/>
      <c r="D3" s="115" t="s">
        <v>21</v>
      </c>
      <c r="F3" t="s">
        <v>22</v>
      </c>
      <c r="G3" s="169">
        <v>0</v>
      </c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</row>
    <row r="4" spans="1:21">
      <c r="A4" s="115">
        <v>2</v>
      </c>
      <c r="B4" t="s">
        <v>23</v>
      </c>
      <c r="C4" s="115"/>
      <c r="D4" s="115" t="s">
        <v>24</v>
      </c>
      <c r="F4" t="s">
        <v>25</v>
      </c>
      <c r="G4" s="169">
        <v>12</v>
      </c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</row>
    <row r="5" spans="1:21">
      <c r="A5" s="115">
        <v>3</v>
      </c>
      <c r="B5" t="s">
        <v>26</v>
      </c>
      <c r="C5" s="115" t="s">
        <v>27</v>
      </c>
      <c r="D5" s="170">
        <v>998</v>
      </c>
      <c r="F5" t="s">
        <v>28</v>
      </c>
      <c r="G5" s="116">
        <v>22</v>
      </c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</row>
    <row r="6" spans="1:21">
      <c r="A6" s="115">
        <v>4</v>
      </c>
      <c r="B6" t="s">
        <v>29</v>
      </c>
      <c r="C6" s="115" t="s">
        <v>30</v>
      </c>
      <c r="D6" s="115" t="s">
        <v>31</v>
      </c>
      <c r="F6" t="s">
        <v>32</v>
      </c>
      <c r="G6" s="171">
        <v>0.03</v>
      </c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</row>
    <row r="7" spans="1:21">
      <c r="A7" s="115">
        <v>5</v>
      </c>
      <c r="B7" t="s">
        <v>33</v>
      </c>
      <c r="C7" s="115"/>
      <c r="D7" s="115" t="s">
        <v>34</v>
      </c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</row>
    <row r="8" spans="6:21">
      <c r="F8" s="114" t="s">
        <v>35</v>
      </c>
      <c r="G8" s="114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</row>
    <row r="9" spans="1:21">
      <c r="A9" s="98" t="s">
        <v>36</v>
      </c>
      <c r="B9" s="98"/>
      <c r="C9" s="98"/>
      <c r="D9" s="98"/>
      <c r="F9" s="120" t="s">
        <v>37</v>
      </c>
      <c r="G9" s="120" t="s">
        <v>38</v>
      </c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</row>
    <row r="10" spans="1:21">
      <c r="A10" s="115" t="s">
        <v>39</v>
      </c>
      <c r="B10" s="120" t="s">
        <v>40</v>
      </c>
      <c r="C10" s="115" t="s">
        <v>18</v>
      </c>
      <c r="D10" s="115" t="s">
        <v>19</v>
      </c>
      <c r="F10" t="s">
        <v>41</v>
      </c>
      <c r="G10" s="121">
        <v>0.4337</v>
      </c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</row>
    <row r="11" spans="1:21">
      <c r="A11" s="115" t="s">
        <v>42</v>
      </c>
      <c r="B11" t="s">
        <v>43</v>
      </c>
      <c r="C11" s="115"/>
      <c r="D11" s="123">
        <f>Salário_Normativo_da_Categoria_Profissional</f>
        <v>998</v>
      </c>
      <c r="F11" t="s">
        <v>44</v>
      </c>
      <c r="G11" s="121">
        <v>0.4337</v>
      </c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</row>
    <row r="12" spans="1:21">
      <c r="A12" s="115" t="s">
        <v>45</v>
      </c>
      <c r="B12" t="s">
        <v>46</v>
      </c>
      <c r="C12" s="115"/>
      <c r="D12" s="123"/>
      <c r="F12" t="s">
        <v>47</v>
      </c>
      <c r="G12" s="121">
        <v>0.0218</v>
      </c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</row>
    <row r="13" spans="1:21">
      <c r="A13" s="115" t="s">
        <v>48</v>
      </c>
      <c r="B13" t="s">
        <v>49</v>
      </c>
      <c r="C13" s="115"/>
      <c r="D13" s="123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</row>
    <row r="14" spans="1:21">
      <c r="A14" s="115" t="s">
        <v>50</v>
      </c>
      <c r="B14" t="s">
        <v>51</v>
      </c>
      <c r="C14" s="115"/>
      <c r="D14" s="123"/>
      <c r="F14" s="114" t="s">
        <v>52</v>
      </c>
      <c r="G14" s="114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</row>
    <row r="15" spans="1:21">
      <c r="A15" s="115" t="s">
        <v>53</v>
      </c>
      <c r="B15" t="s">
        <v>54</v>
      </c>
      <c r="C15" s="115"/>
      <c r="D15" s="123"/>
      <c r="F15" s="172" t="s">
        <v>17</v>
      </c>
      <c r="G15" s="172" t="s">
        <v>38</v>
      </c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</row>
    <row r="16" spans="1:21">
      <c r="A16" s="115" t="s">
        <v>55</v>
      </c>
      <c r="B16" t="s">
        <v>56</v>
      </c>
      <c r="C16" s="115"/>
      <c r="D16" s="123"/>
      <c r="F16" s="126" t="s">
        <v>57</v>
      </c>
      <c r="G16" s="173">
        <v>0.0471</v>
      </c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</row>
    <row r="17" spans="1:21">
      <c r="A17" s="115" t="s">
        <v>58</v>
      </c>
      <c r="C17" s="115"/>
      <c r="D17" s="123">
        <f>SUBTOTAL(109,Módulo1[Valor])</f>
        <v>998</v>
      </c>
      <c r="F17" s="126" t="s">
        <v>59</v>
      </c>
      <c r="G17" s="173">
        <v>0.0467</v>
      </c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</row>
    <row r="18" spans="6:21">
      <c r="F18" s="126" t="s">
        <v>60</v>
      </c>
      <c r="G18" s="174">
        <v>0.0165</v>
      </c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</row>
    <row r="19" spans="1:21">
      <c r="A19" s="124" t="s">
        <v>61</v>
      </c>
      <c r="B19" s="124"/>
      <c r="C19" s="124"/>
      <c r="D19" s="124"/>
      <c r="F19" s="126" t="s">
        <v>62</v>
      </c>
      <c r="G19" s="174">
        <v>0.076</v>
      </c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</row>
    <row r="20" spans="1:21">
      <c r="A20" s="114" t="s">
        <v>63</v>
      </c>
      <c r="B20" s="114"/>
      <c r="C20" s="114"/>
      <c r="D20" s="114"/>
      <c r="F20" s="126" t="s">
        <v>64</v>
      </c>
      <c r="G20" s="174">
        <v>0.05</v>
      </c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</row>
    <row r="21" spans="1:21">
      <c r="A21" s="115" t="s">
        <v>65</v>
      </c>
      <c r="B21" s="120" t="s">
        <v>66</v>
      </c>
      <c r="C21" s="115" t="s">
        <v>18</v>
      </c>
      <c r="D21" s="115" t="s">
        <v>19</v>
      </c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</row>
    <row r="22" spans="1:21">
      <c r="A22" s="115" t="s">
        <v>42</v>
      </c>
      <c r="B22" t="s">
        <v>67</v>
      </c>
      <c r="D22" s="123">
        <f>Módulo1[[#Totals],[Valor]]/12</f>
        <v>83.1666666666667</v>
      </c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</row>
    <row r="23" spans="1:21">
      <c r="A23" s="115" t="s">
        <v>45</v>
      </c>
      <c r="B23" t="s">
        <v>68</v>
      </c>
      <c r="D23" s="123">
        <f>(Módulo1[[#Totals],[Valor]]/12)*(1+(1/3))</f>
        <v>110.888888888889</v>
      </c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</row>
    <row r="24" spans="1:21">
      <c r="A24" s="115" t="s">
        <v>58</v>
      </c>
      <c r="D24" s="123">
        <f>SUBTOTAL(109,Submódulo2.1[Valor])</f>
        <v>194.055555555556</v>
      </c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</row>
    <row r="25" spans="1:21">
      <c r="A25" s="115"/>
      <c r="D25" s="123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</row>
    <row r="26" spans="1:21">
      <c r="A26" s="175" t="s">
        <v>69</v>
      </c>
      <c r="B26" s="175"/>
      <c r="C26" s="175"/>
      <c r="D26" s="175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</row>
    <row r="27" spans="1:21">
      <c r="A27" s="175" t="s">
        <v>16</v>
      </c>
      <c r="B27" s="175" t="s">
        <v>70</v>
      </c>
      <c r="C27" s="175" t="s">
        <v>71</v>
      </c>
      <c r="D27" s="176" t="s">
        <v>72</v>
      </c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</row>
    <row r="28" ht="28.8" spans="1:21">
      <c r="A28" s="135" t="s">
        <v>42</v>
      </c>
      <c r="B28" s="177" t="s">
        <v>73</v>
      </c>
      <c r="C28" s="178" t="s">
        <v>74</v>
      </c>
      <c r="D28" s="177" t="s">
        <v>75</v>
      </c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</row>
    <row r="29" ht="28.8" spans="1:21">
      <c r="A29" s="135" t="s">
        <v>45</v>
      </c>
      <c r="B29" s="179" t="s">
        <v>68</v>
      </c>
      <c r="C29" s="178" t="s">
        <v>74</v>
      </c>
      <c r="D29" s="177" t="s">
        <v>76</v>
      </c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  <c r="U29" s="126"/>
    </row>
    <row r="30" spans="1:21">
      <c r="A30" s="115"/>
      <c r="B30" s="115"/>
      <c r="C30" s="147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</row>
    <row r="31" spans="1:4">
      <c r="A31" s="114" t="s">
        <v>77</v>
      </c>
      <c r="B31" s="114"/>
      <c r="C31" s="114"/>
      <c r="D31" s="114"/>
    </row>
    <row r="32" spans="1:4">
      <c r="A32" s="115" t="s">
        <v>78</v>
      </c>
      <c r="B32" s="120" t="s">
        <v>79</v>
      </c>
      <c r="C32" s="115" t="s">
        <v>38</v>
      </c>
      <c r="D32" s="115" t="s">
        <v>80</v>
      </c>
    </row>
    <row r="33" spans="1:4">
      <c r="A33" s="115" t="s">
        <v>42</v>
      </c>
      <c r="B33" t="s">
        <v>81</v>
      </c>
      <c r="C33" s="125">
        <v>0.2</v>
      </c>
      <c r="D33" s="123">
        <f>C33*(Módulo1[[#Totals],[Valor]]+Submódulo2.1[[#Totals],[Valor]])</f>
        <v>238.411111111111</v>
      </c>
    </row>
    <row r="34" spans="1:4">
      <c r="A34" s="115" t="s">
        <v>45</v>
      </c>
      <c r="B34" t="s">
        <v>82</v>
      </c>
      <c r="C34" s="125">
        <v>0.025</v>
      </c>
      <c r="D34" s="123">
        <f>C34*(Módulo1[[#Totals],[Valor]]+Submódulo2.1[[#Totals],[Valor]])</f>
        <v>29.8013888888889</v>
      </c>
    </row>
    <row r="35" spans="1:4">
      <c r="A35" s="115" t="s">
        <v>48</v>
      </c>
      <c r="B35" t="s">
        <v>83</v>
      </c>
      <c r="C35" s="125">
        <f>Servente!G6</f>
        <v>0.03</v>
      </c>
      <c r="D35" s="123">
        <f>C35*(Módulo1[[#Totals],[Valor]]+Submódulo2.1[[#Totals],[Valor]])</f>
        <v>35.7616666666667</v>
      </c>
    </row>
    <row r="36" spans="1:4">
      <c r="A36" s="115" t="s">
        <v>50</v>
      </c>
      <c r="B36" t="s">
        <v>84</v>
      </c>
      <c r="C36" s="125">
        <v>0.015</v>
      </c>
      <c r="D36" s="123">
        <f>C36*(Módulo1[[#Totals],[Valor]]+Submódulo2.1[[#Totals],[Valor]])</f>
        <v>17.8808333333333</v>
      </c>
    </row>
    <row r="37" spans="1:4">
      <c r="A37" s="115" t="s">
        <v>53</v>
      </c>
      <c r="B37" t="s">
        <v>85</v>
      </c>
      <c r="C37" s="125">
        <v>0.01</v>
      </c>
      <c r="D37" s="123">
        <f>C37*(Módulo1[[#Totals],[Valor]]+Submódulo2.1[[#Totals],[Valor]])</f>
        <v>11.9205555555556</v>
      </c>
    </row>
    <row r="38" spans="1:4">
      <c r="A38" s="115" t="s">
        <v>55</v>
      </c>
      <c r="B38" t="s">
        <v>86</v>
      </c>
      <c r="C38" s="125">
        <v>0.006</v>
      </c>
      <c r="D38" s="123">
        <f>C38*(Módulo1[[#Totals],[Valor]]+Submódulo2.1[[#Totals],[Valor]])</f>
        <v>7.15233333333333</v>
      </c>
    </row>
    <row r="39" spans="1:4">
      <c r="A39" s="115" t="s">
        <v>87</v>
      </c>
      <c r="B39" t="s">
        <v>88</v>
      </c>
      <c r="C39" s="125">
        <v>0.002</v>
      </c>
      <c r="D39" s="123">
        <f>C39*(Módulo1[[#Totals],[Valor]]+Submódulo2.1[[#Totals],[Valor]])</f>
        <v>2.38411111111111</v>
      </c>
    </row>
    <row r="40" spans="1:4">
      <c r="A40" s="115" t="s">
        <v>89</v>
      </c>
      <c r="B40" t="s">
        <v>90</v>
      </c>
      <c r="C40" s="125">
        <v>0.08</v>
      </c>
      <c r="D40" s="123">
        <f>C40*(Módulo1[[#Totals],[Valor]]+Submódulo2.1[[#Totals],[Valor]])</f>
        <v>95.3644444444445</v>
      </c>
    </row>
    <row r="41" spans="1:4">
      <c r="A41" s="115" t="s">
        <v>58</v>
      </c>
      <c r="C41" s="132">
        <f>SUBTOTAL(109,Submódulo2.2[Percentual])</f>
        <v>0.368</v>
      </c>
      <c r="D41" s="123">
        <f>SUBTOTAL(109,Submódulo2.2[Valor ])</f>
        <v>438.676444444444</v>
      </c>
    </row>
    <row r="42" spans="1:4">
      <c r="A42" s="115"/>
      <c r="C42" s="132"/>
      <c r="D42" s="123"/>
    </row>
    <row r="43" spans="1:4">
      <c r="A43" s="175" t="s">
        <v>91</v>
      </c>
      <c r="B43" s="175"/>
      <c r="C43" s="175"/>
      <c r="D43" s="175"/>
    </row>
    <row r="44" spans="1:4">
      <c r="A44" s="175" t="s">
        <v>16</v>
      </c>
      <c r="B44" s="175" t="s">
        <v>70</v>
      </c>
      <c r="C44" s="175" t="s">
        <v>71</v>
      </c>
      <c r="D44" s="176" t="s">
        <v>72</v>
      </c>
    </row>
    <row r="45" spans="1:4">
      <c r="A45" s="135" t="s">
        <v>92</v>
      </c>
      <c r="B45" s="177" t="s">
        <v>79</v>
      </c>
      <c r="C45" s="177" t="s">
        <v>93</v>
      </c>
      <c r="D45" s="177" t="s">
        <v>94</v>
      </c>
    </row>
    <row r="47" spans="1:4">
      <c r="A47" s="114" t="s">
        <v>95</v>
      </c>
      <c r="B47" s="114"/>
      <c r="C47" s="114"/>
      <c r="D47" s="114"/>
    </row>
    <row r="48" spans="1:4">
      <c r="A48" s="115" t="s">
        <v>96</v>
      </c>
      <c r="B48" s="120" t="s">
        <v>97</v>
      </c>
      <c r="C48" s="115" t="s">
        <v>18</v>
      </c>
      <c r="D48" s="115" t="s">
        <v>19</v>
      </c>
    </row>
    <row r="49" spans="1:4">
      <c r="A49" s="115" t="s">
        <v>42</v>
      </c>
      <c r="B49" t="s">
        <v>98</v>
      </c>
      <c r="D49" s="123">
        <f>IF(G3=0,0,(Servente!G3*2*Servente!G5)-(6%*_1A))</f>
        <v>0</v>
      </c>
    </row>
    <row r="50" spans="1:4">
      <c r="A50" s="115" t="s">
        <v>45</v>
      </c>
      <c r="B50" t="s">
        <v>99</v>
      </c>
      <c r="D50" s="123">
        <f>(Servente!G4*Servente!G5)*80%</f>
        <v>211.2</v>
      </c>
    </row>
    <row r="51" spans="1:4">
      <c r="A51" s="115" t="s">
        <v>48</v>
      </c>
      <c r="B51" t="s">
        <v>100</v>
      </c>
      <c r="D51" s="123"/>
    </row>
    <row r="52" spans="1:4">
      <c r="A52" s="115" t="s">
        <v>50</v>
      </c>
      <c r="B52" t="s">
        <v>56</v>
      </c>
      <c r="D52" s="123"/>
    </row>
    <row r="53" spans="1:4">
      <c r="A53" s="115" t="s">
        <v>58</v>
      </c>
      <c r="D53" s="123">
        <v>211.2</v>
      </c>
    </row>
    <row r="54" spans="1:4">
      <c r="A54" s="115"/>
      <c r="D54" s="123"/>
    </row>
    <row r="55" spans="1:4">
      <c r="A55" s="175" t="s">
        <v>101</v>
      </c>
      <c r="B55" s="175"/>
      <c r="C55" s="175"/>
      <c r="D55" s="175"/>
    </row>
    <row r="56" spans="1:4">
      <c r="A56" s="175" t="s">
        <v>16</v>
      </c>
      <c r="B56" s="175" t="s">
        <v>70</v>
      </c>
      <c r="C56" s="175" t="s">
        <v>71</v>
      </c>
      <c r="D56" s="175" t="s">
        <v>72</v>
      </c>
    </row>
    <row r="57" ht="43.2" spans="1:4">
      <c r="A57" s="135" t="s">
        <v>42</v>
      </c>
      <c r="B57" s="177" t="s">
        <v>98</v>
      </c>
      <c r="C57" s="178" t="s">
        <v>102</v>
      </c>
      <c r="D57" s="178" t="s">
        <v>103</v>
      </c>
    </row>
    <row r="58" ht="28.8" spans="1:4">
      <c r="A58" s="135" t="s">
        <v>45</v>
      </c>
      <c r="B58" s="179" t="s">
        <v>99</v>
      </c>
      <c r="C58" s="178" t="s">
        <v>102</v>
      </c>
      <c r="D58" s="178" t="s">
        <v>104</v>
      </c>
    </row>
    <row r="59" ht="19.5" customHeight="1" spans="1:4">
      <c r="A59" s="115"/>
      <c r="D59" s="123"/>
    </row>
    <row r="60" spans="1:4">
      <c r="A60" s="114" t="s">
        <v>105</v>
      </c>
      <c r="B60" s="114"/>
      <c r="C60" s="114"/>
      <c r="D60" s="114"/>
    </row>
    <row r="61" spans="1:4">
      <c r="A61" s="115" t="s">
        <v>106</v>
      </c>
      <c r="B61" s="120" t="s">
        <v>107</v>
      </c>
      <c r="C61" s="115" t="s">
        <v>18</v>
      </c>
      <c r="D61" s="115" t="s">
        <v>19</v>
      </c>
    </row>
    <row r="62" spans="1:4">
      <c r="A62" s="115" t="s">
        <v>65</v>
      </c>
      <c r="B62" t="s">
        <v>66</v>
      </c>
      <c r="C62" s="115"/>
      <c r="D62" s="123">
        <f>Submódulo2.1[[#Totals],[Valor]]</f>
        <v>194.055555555556</v>
      </c>
    </row>
    <row r="63" spans="1:4">
      <c r="A63" s="115" t="s">
        <v>78</v>
      </c>
      <c r="B63" t="s">
        <v>79</v>
      </c>
      <c r="C63" s="115"/>
      <c r="D63" s="123">
        <f>Submódulo2.2[[#Totals],[Valor ]]</f>
        <v>438.676444444444</v>
      </c>
    </row>
    <row r="64" spans="1:4">
      <c r="A64" s="115" t="s">
        <v>96</v>
      </c>
      <c r="B64" t="s">
        <v>97</v>
      </c>
      <c r="C64" s="115"/>
      <c r="D64" s="123">
        <f>Submódulo2.3[[#Totals],[Valor]]</f>
        <v>211.2</v>
      </c>
    </row>
    <row r="65" spans="1:4">
      <c r="A65" s="115" t="s">
        <v>58</v>
      </c>
      <c r="C65" s="115"/>
      <c r="D65" s="123">
        <v>843.932</v>
      </c>
    </row>
    <row r="67" spans="1:4">
      <c r="A67" s="98" t="s">
        <v>108</v>
      </c>
      <c r="B67" s="98"/>
      <c r="C67" s="98"/>
      <c r="D67" s="98"/>
    </row>
    <row r="68" spans="1:4">
      <c r="A68" s="115" t="s">
        <v>109</v>
      </c>
      <c r="B68" s="120" t="s">
        <v>110</v>
      </c>
      <c r="C68" s="115" t="s">
        <v>18</v>
      </c>
      <c r="D68" s="115" t="s">
        <v>19</v>
      </c>
    </row>
    <row r="69" spans="1:4">
      <c r="A69" s="115" t="s">
        <v>42</v>
      </c>
      <c r="B69" t="s">
        <v>111</v>
      </c>
      <c r="D69" s="123">
        <f>((Módulo1[[#Totals],[Valor]]+D62+D64)/12)*Servente!G10</f>
        <v>50.715994537037</v>
      </c>
    </row>
    <row r="70" spans="1:4">
      <c r="A70" s="115" t="s">
        <v>45</v>
      </c>
      <c r="B70" t="s">
        <v>112</v>
      </c>
      <c r="D70" s="123">
        <f>(D40/12)*Servente!G10</f>
        <v>3.44662996296296</v>
      </c>
    </row>
    <row r="71" spans="1:4">
      <c r="A71" s="115" t="s">
        <v>48</v>
      </c>
      <c r="B71" t="s">
        <v>113</v>
      </c>
      <c r="D71" s="123">
        <f>D40*50%*Servente!G10</f>
        <v>20.6797797777778</v>
      </c>
    </row>
    <row r="72" spans="1:4">
      <c r="A72" s="115" t="s">
        <v>50</v>
      </c>
      <c r="B72" t="s">
        <v>114</v>
      </c>
      <c r="D72" s="123">
        <f>((Módulo1[[#Totals],[Valor]]+ResumoMódulo2[[#Totals],[Valor]])/12)*Servente!G11</f>
        <v>66.5704923666667</v>
      </c>
    </row>
    <row r="73" spans="1:4">
      <c r="A73" s="115" t="s">
        <v>53</v>
      </c>
      <c r="B73" t="s">
        <v>115</v>
      </c>
      <c r="D73" s="123">
        <f>D40*50%*Servente!G11</f>
        <v>20.6797797777778</v>
      </c>
    </row>
    <row r="74" spans="1:4">
      <c r="A74" s="115" t="s">
        <v>55</v>
      </c>
      <c r="B74" t="s">
        <v>116</v>
      </c>
      <c r="D74" s="123">
        <f>-D62*Servente!G12</f>
        <v>-4.23041111111111</v>
      </c>
    </row>
    <row r="75" spans="1:4">
      <c r="A75" s="115" t="s">
        <v>58</v>
      </c>
      <c r="D75" s="123">
        <f>SUBTOTAL(109,Módulo3[Valor])</f>
        <v>157.862265311111</v>
      </c>
    </row>
    <row r="76" spans="1:4">
      <c r="A76" s="115"/>
      <c r="D76" s="123"/>
    </row>
    <row r="77" spans="1:4">
      <c r="A77" s="175" t="s">
        <v>117</v>
      </c>
      <c r="B77" s="175"/>
      <c r="C77" s="175"/>
      <c r="D77" s="175"/>
    </row>
    <row r="78" spans="1:4">
      <c r="A78" s="175" t="s">
        <v>16</v>
      </c>
      <c r="B78" s="175" t="s">
        <v>70</v>
      </c>
      <c r="C78" s="175" t="s">
        <v>71</v>
      </c>
      <c r="D78" s="175" t="s">
        <v>72</v>
      </c>
    </row>
    <row r="79" ht="57.6" spans="1:4">
      <c r="A79" s="135" t="s">
        <v>42</v>
      </c>
      <c r="B79" s="177" t="s">
        <v>111</v>
      </c>
      <c r="C79" s="178" t="s">
        <v>118</v>
      </c>
      <c r="D79" s="178" t="s">
        <v>119</v>
      </c>
    </row>
    <row r="80" ht="57.6" spans="1:4">
      <c r="A80" s="135" t="s">
        <v>45</v>
      </c>
      <c r="B80" s="179" t="s">
        <v>112</v>
      </c>
      <c r="C80" s="178" t="s">
        <v>120</v>
      </c>
      <c r="D80" s="178" t="s">
        <v>119</v>
      </c>
    </row>
    <row r="81" ht="72" spans="1:4">
      <c r="A81" s="135" t="s">
        <v>48</v>
      </c>
      <c r="B81" s="179" t="s">
        <v>113</v>
      </c>
      <c r="C81" s="178" t="s">
        <v>120</v>
      </c>
      <c r="D81" s="180" t="s">
        <v>121</v>
      </c>
    </row>
    <row r="82" ht="57.6" spans="1:4">
      <c r="A82" s="135" t="s">
        <v>50</v>
      </c>
      <c r="B82" s="136" t="s">
        <v>114</v>
      </c>
      <c r="C82" s="178" t="s">
        <v>122</v>
      </c>
      <c r="D82" s="180" t="s">
        <v>123</v>
      </c>
    </row>
    <row r="83" ht="72" spans="1:4">
      <c r="A83" s="135" t="s">
        <v>53</v>
      </c>
      <c r="B83" s="136" t="s">
        <v>115</v>
      </c>
      <c r="C83" s="178" t="s">
        <v>120</v>
      </c>
      <c r="D83" s="180" t="s">
        <v>124</v>
      </c>
    </row>
    <row r="84" ht="57.6" spans="1:4">
      <c r="A84" s="135" t="s">
        <v>55</v>
      </c>
      <c r="B84" s="136" t="s">
        <v>116</v>
      </c>
      <c r="C84" s="178" t="s">
        <v>125</v>
      </c>
      <c r="D84" s="180" t="s">
        <v>126</v>
      </c>
    </row>
    <row r="86" ht="15" customHeight="1" spans="1:4">
      <c r="A86" s="145" t="s">
        <v>127</v>
      </c>
      <c r="B86" s="145"/>
      <c r="C86" s="145"/>
      <c r="D86" s="145"/>
    </row>
    <row r="87" spans="1:4">
      <c r="A87" s="114" t="s">
        <v>128</v>
      </c>
      <c r="B87" s="114"/>
      <c r="C87" s="114"/>
      <c r="D87" s="114"/>
    </row>
    <row r="88" spans="1:4">
      <c r="A88" s="115" t="s">
        <v>129</v>
      </c>
      <c r="B88" s="120" t="s">
        <v>130</v>
      </c>
      <c r="C88" s="115" t="s">
        <v>131</v>
      </c>
      <c r="D88" s="115" t="s">
        <v>19</v>
      </c>
    </row>
    <row r="89" spans="1:4">
      <c r="A89" s="115" t="s">
        <v>42</v>
      </c>
      <c r="B89" t="s">
        <v>132</v>
      </c>
      <c r="C89" s="115">
        <v>20.71</v>
      </c>
      <c r="D89" s="123">
        <f>(((Módulo1[[#Totals],[Valor]]+ResumoMódulo2[[#Totals],[Valor]]+Módulo3[[#Totals],[Valor]])/30)*C89)/12</f>
        <v>115.043720096092</v>
      </c>
    </row>
    <row r="90" spans="1:4">
      <c r="A90" s="115" t="s">
        <v>45</v>
      </c>
      <c r="B90" t="s">
        <v>133</v>
      </c>
      <c r="C90" s="115">
        <v>1.4181</v>
      </c>
      <c r="D90" s="123">
        <f>(((Módulo1[[#Totals],[Valor]]+ResumoMódulo2[[#Totals],[Valor]]+Módulo3[[#Totals],[Valor]])/30)*C90)/12</f>
        <v>7.87752291010468</v>
      </c>
    </row>
    <row r="91" spans="1:4">
      <c r="A91" s="115" t="s">
        <v>48</v>
      </c>
      <c r="B91" t="s">
        <v>134</v>
      </c>
      <c r="C91" s="115">
        <v>0.1898</v>
      </c>
      <c r="D91" s="123">
        <f>(((Módulo1[[#Totals],[Valor]]+ResumoMódulo2[[#Totals],[Valor]]+Módulo3[[#Totals],[Valor]])/30)*C91)/12</f>
        <v>1.05433597654458</v>
      </c>
    </row>
    <row r="92" spans="1:4">
      <c r="A92" s="115" t="s">
        <v>50</v>
      </c>
      <c r="B92" t="s">
        <v>135</v>
      </c>
      <c r="C92" s="115">
        <v>0.9545</v>
      </c>
      <c r="D92" s="123">
        <f>(((Módulo1[[#Totals],[Valor]]+ResumoMódulo2[[#Totals],[Valor]]+Módulo3[[#Totals],[Valor]])/30)*C92)/12</f>
        <v>5.3022322951096</v>
      </c>
    </row>
    <row r="93" spans="1:4">
      <c r="A93" s="115" t="s">
        <v>53</v>
      </c>
      <c r="B93" t="s">
        <v>136</v>
      </c>
      <c r="C93" s="115">
        <v>2.4723</v>
      </c>
      <c r="D93" s="123">
        <f>(((Módulo1[[#Totals],[Valor]]+ResumoMódulo2[[#Totals],[Valor]]+Módulo3[[#Totals],[Valor]])/30)*C93)/12</f>
        <v>13.7335871170241</v>
      </c>
    </row>
    <row r="94" spans="1:4">
      <c r="A94" s="115" t="s">
        <v>55</v>
      </c>
      <c r="B94" t="s">
        <v>137</v>
      </c>
      <c r="C94" s="115">
        <v>3.4521</v>
      </c>
      <c r="D94" s="123">
        <f>(((Módulo1[[#Totals],[Valor]]+ResumoMódulo2[[#Totals],[Valor]]+Módulo3[[#Totals],[Valor]])/30)*C94)/12</f>
        <v>19.1763605091125</v>
      </c>
    </row>
    <row r="95" spans="1:4">
      <c r="A95" s="115" t="s">
        <v>58</v>
      </c>
      <c r="C95" s="115">
        <f>SUBTOTAL(109,Submódulo4.1[Dias de ausência])</f>
        <v>29.1968</v>
      </c>
      <c r="D95" s="123">
        <f>SUBTOTAL(109,Submódulo4.1[Valor])</f>
        <v>162.187758903987</v>
      </c>
    </row>
    <row r="96" spans="1:4">
      <c r="A96" s="115"/>
      <c r="C96" s="115"/>
      <c r="D96" s="123"/>
    </row>
    <row r="97" spans="1:4">
      <c r="A97" s="175" t="s">
        <v>138</v>
      </c>
      <c r="B97" s="175"/>
      <c r="C97" s="175"/>
      <c r="D97" s="175"/>
    </row>
    <row r="98" spans="1:4">
      <c r="A98" s="175" t="s">
        <v>16</v>
      </c>
      <c r="B98" s="175" t="s">
        <v>70</v>
      </c>
      <c r="C98" s="175" t="s">
        <v>71</v>
      </c>
      <c r="D98" s="175" t="s">
        <v>72</v>
      </c>
    </row>
    <row r="99" spans="1:4">
      <c r="A99" s="135" t="s">
        <v>139</v>
      </c>
      <c r="B99" s="177" t="s">
        <v>140</v>
      </c>
      <c r="C99" s="178"/>
      <c r="D99" s="178"/>
    </row>
    <row r="100" ht="43.2" spans="1:4">
      <c r="A100" s="135" t="s">
        <v>139</v>
      </c>
      <c r="B100" s="179" t="s">
        <v>141</v>
      </c>
      <c r="C100" s="178" t="s">
        <v>142</v>
      </c>
      <c r="D100" s="178" t="s">
        <v>143</v>
      </c>
    </row>
    <row r="101" spans="1:4">
      <c r="A101" s="115"/>
      <c r="C101" s="115"/>
      <c r="D101" s="123"/>
    </row>
    <row r="102" spans="1:4">
      <c r="A102" s="114" t="s">
        <v>144</v>
      </c>
      <c r="B102" s="114"/>
      <c r="C102" s="114"/>
      <c r="D102" s="114"/>
    </row>
    <row r="103" spans="1:4">
      <c r="A103" s="115" t="s">
        <v>145</v>
      </c>
      <c r="B103" s="120" t="s">
        <v>146</v>
      </c>
      <c r="C103" s="115" t="s">
        <v>18</v>
      </c>
      <c r="D103" s="115" t="s">
        <v>19</v>
      </c>
    </row>
    <row r="104" spans="1:4">
      <c r="A104" s="115" t="s">
        <v>42</v>
      </c>
      <c r="B104" t="s">
        <v>147</v>
      </c>
      <c r="C104" s="115"/>
      <c r="D104" s="123"/>
    </row>
    <row r="105" spans="1:4">
      <c r="A105" s="115" t="s">
        <v>58</v>
      </c>
      <c r="C105" s="115"/>
      <c r="D105" s="123">
        <f>SUBTOTAL(109,Submódulo4.2[Valor])</f>
        <v>0</v>
      </c>
    </row>
    <row r="107" spans="1:4">
      <c r="A107" s="114" t="s">
        <v>148</v>
      </c>
      <c r="B107" s="114"/>
      <c r="C107" s="114"/>
      <c r="D107" s="114"/>
    </row>
    <row r="108" spans="1:4">
      <c r="A108" s="115" t="s">
        <v>149</v>
      </c>
      <c r="B108" s="120" t="s">
        <v>150</v>
      </c>
      <c r="C108" s="115" t="s">
        <v>18</v>
      </c>
      <c r="D108" s="115" t="s">
        <v>19</v>
      </c>
    </row>
    <row r="109" spans="1:4">
      <c r="A109" s="115" t="s">
        <v>129</v>
      </c>
      <c r="B109" t="s">
        <v>130</v>
      </c>
      <c r="D109" s="123">
        <f>Submódulo4.1[[#Totals],[Valor]]</f>
        <v>162.187758903987</v>
      </c>
    </row>
    <row r="110" spans="1:4">
      <c r="A110" s="115" t="s">
        <v>145</v>
      </c>
      <c r="B110" t="s">
        <v>151</v>
      </c>
      <c r="D110" s="123">
        <f>Submódulo4.2[[#Totals],[Valor]]</f>
        <v>0</v>
      </c>
    </row>
    <row r="111" spans="1:4">
      <c r="A111" s="115" t="s">
        <v>58</v>
      </c>
      <c r="D111" s="123">
        <f>SUBTOTAL(109,ResumoMódulo4[Valor])</f>
        <v>162.187758903987</v>
      </c>
    </row>
    <row r="113" spans="1:4">
      <c r="A113" s="98" t="s">
        <v>152</v>
      </c>
      <c r="B113" s="98"/>
      <c r="C113" s="98"/>
      <c r="D113" s="98"/>
    </row>
    <row r="114" spans="1:4">
      <c r="A114" s="115" t="s">
        <v>153</v>
      </c>
      <c r="B114" s="120" t="s">
        <v>154</v>
      </c>
      <c r="C114" s="115" t="s">
        <v>18</v>
      </c>
      <c r="D114" s="115" t="s">
        <v>19</v>
      </c>
    </row>
    <row r="115" spans="1:4">
      <c r="A115" s="115" t="s">
        <v>42</v>
      </c>
      <c r="B115" t="s">
        <v>155</v>
      </c>
      <c r="D115" s="123" t="e">
        <f>#REF!</f>
        <v>#REF!</v>
      </c>
    </row>
    <row r="116" spans="1:4">
      <c r="A116" s="115" t="s">
        <v>45</v>
      </c>
      <c r="B116" t="s">
        <v>156</v>
      </c>
      <c r="D116" s="123" t="e">
        <f>#REF!/#REF!</f>
        <v>#REF!</v>
      </c>
    </row>
    <row r="117" spans="1:4">
      <c r="A117" s="115" t="s">
        <v>48</v>
      </c>
      <c r="B117" t="s">
        <v>157</v>
      </c>
      <c r="D117" s="123" t="e">
        <f>#REF!/#REF!</f>
        <v>#REF!</v>
      </c>
    </row>
    <row r="118" spans="1:4">
      <c r="A118" s="115" t="s">
        <v>50</v>
      </c>
      <c r="B118" t="s">
        <v>158</v>
      </c>
      <c r="D118" s="123"/>
    </row>
    <row r="119" spans="1:4">
      <c r="A119" s="115" t="s">
        <v>58</v>
      </c>
      <c r="D119" s="123" t="e">
        <f>SUBTOTAL(109,Módulo5[Valor])</f>
        <v>#REF!</v>
      </c>
    </row>
    <row r="120" spans="1:4">
      <c r="A120" s="115"/>
      <c r="D120" s="123"/>
    </row>
    <row r="121" spans="1:4">
      <c r="A121" s="175" t="s">
        <v>159</v>
      </c>
      <c r="B121" s="175"/>
      <c r="C121" s="175"/>
      <c r="D121" s="175"/>
    </row>
    <row r="122" spans="1:4">
      <c r="A122" s="175" t="s">
        <v>16</v>
      </c>
      <c r="B122" s="175" t="s">
        <v>70</v>
      </c>
      <c r="C122" s="175" t="s">
        <v>71</v>
      </c>
      <c r="D122" s="175" t="s">
        <v>72</v>
      </c>
    </row>
    <row r="123" spans="1:4">
      <c r="A123" s="135" t="s">
        <v>42</v>
      </c>
      <c r="B123" s="177" t="s">
        <v>155</v>
      </c>
      <c r="C123" s="178" t="s">
        <v>160</v>
      </c>
      <c r="D123" s="178"/>
    </row>
    <row r="124" ht="28.8" spans="1:4">
      <c r="A124" s="135" t="s">
        <v>45</v>
      </c>
      <c r="B124" s="179" t="s">
        <v>156</v>
      </c>
      <c r="C124" s="178" t="s">
        <v>161</v>
      </c>
      <c r="D124" s="178" t="s">
        <v>162</v>
      </c>
    </row>
    <row r="125" ht="28.8" spans="1:4">
      <c r="A125" s="135" t="s">
        <v>48</v>
      </c>
      <c r="B125" s="179" t="s">
        <v>157</v>
      </c>
      <c r="C125" s="178" t="s">
        <v>163</v>
      </c>
      <c r="D125" s="178" t="s">
        <v>162</v>
      </c>
    </row>
    <row r="126" spans="1:4">
      <c r="A126" s="135" t="s">
        <v>50</v>
      </c>
      <c r="B126" s="179" t="s">
        <v>158</v>
      </c>
      <c r="C126" s="178"/>
      <c r="D126" s="178"/>
    </row>
    <row r="128" spans="1:4">
      <c r="A128" s="98" t="s">
        <v>164</v>
      </c>
      <c r="B128" s="98"/>
      <c r="C128" s="98"/>
      <c r="D128" s="98"/>
    </row>
    <row r="129" outlineLevel="1" spans="1:4">
      <c r="A129" s="115" t="s">
        <v>165</v>
      </c>
      <c r="B129" t="s">
        <v>166</v>
      </c>
      <c r="C129" s="115" t="s">
        <v>38</v>
      </c>
      <c r="D129" s="115" t="s">
        <v>19</v>
      </c>
    </row>
    <row r="130" outlineLevel="1" spans="1:4">
      <c r="A130" s="115" t="s">
        <v>42</v>
      </c>
      <c r="B130" t="s">
        <v>167</v>
      </c>
      <c r="C130" s="125">
        <f>G16</f>
        <v>0.0471</v>
      </c>
      <c r="D130" s="123" t="e">
        <f>Módulo6[[#This Row],[Percentual]]*(D141+D142+D143+D144+D145)</f>
        <v>#REF!</v>
      </c>
    </row>
    <row r="131" outlineLevel="1" spans="1:4">
      <c r="A131" s="115" t="s">
        <v>45</v>
      </c>
      <c r="B131" t="s">
        <v>59</v>
      </c>
      <c r="C131" s="125">
        <f>G17</f>
        <v>0.0467</v>
      </c>
      <c r="D131" s="123" t="e">
        <f>(SUM(D141:D145)+D130)*Módulo6[[#This Row],[Percentual]]</f>
        <v>#REF!</v>
      </c>
    </row>
    <row r="132" spans="1:4">
      <c r="A132" s="115" t="s">
        <v>48</v>
      </c>
      <c r="B132" t="s">
        <v>168</v>
      </c>
      <c r="C132" s="125">
        <f>SUM(C133:C135)</f>
        <v>0.1425</v>
      </c>
      <c r="D132" s="123" t="e">
        <f>Módulo6[[#This Row],[Percentual]]*D148</f>
        <v>#REF!</v>
      </c>
    </row>
    <row r="133" spans="1:4">
      <c r="A133" s="115" t="s">
        <v>169</v>
      </c>
      <c r="B133" t="s">
        <v>60</v>
      </c>
      <c r="C133" s="125">
        <f>G18</f>
        <v>0.0165</v>
      </c>
      <c r="D133" s="123" t="e">
        <f>Módulo6[[#This Row],[Percentual]]*D148</f>
        <v>#REF!</v>
      </c>
    </row>
    <row r="134" spans="1:4">
      <c r="A134" s="115" t="s">
        <v>170</v>
      </c>
      <c r="B134" t="s">
        <v>62</v>
      </c>
      <c r="C134" s="125">
        <f>G19</f>
        <v>0.076</v>
      </c>
      <c r="D134" s="123" t="e">
        <f>Módulo6[[#This Row],[Percentual]]*D148</f>
        <v>#REF!</v>
      </c>
    </row>
    <row r="135" spans="1:4">
      <c r="A135" s="115" t="s">
        <v>171</v>
      </c>
      <c r="B135" t="s">
        <v>64</v>
      </c>
      <c r="C135" s="125">
        <f>G20</f>
        <v>0.05</v>
      </c>
      <c r="D135" s="123" t="e">
        <f>Módulo6[[#This Row],[Percentual]]*D148</f>
        <v>#REF!</v>
      </c>
    </row>
    <row r="136" spans="1:4">
      <c r="A136" s="115" t="s">
        <v>58</v>
      </c>
      <c r="C136" s="162"/>
      <c r="D136" s="123" t="e">
        <f>SUM(D130:D132)</f>
        <v>#REF!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Módulo1[[#Totals],[Valor]]</f>
        <v>998</v>
      </c>
    </row>
    <row r="142" spans="1:4">
      <c r="A142" s="115" t="s">
        <v>45</v>
      </c>
      <c r="B142" t="s">
        <v>61</v>
      </c>
      <c r="D142" s="123">
        <f>ResumoMódulo2[[#Totals],[Valor]]</f>
        <v>843.932</v>
      </c>
    </row>
    <row r="143" spans="1:4">
      <c r="A143" s="115" t="s">
        <v>48</v>
      </c>
      <c r="B143" t="s">
        <v>108</v>
      </c>
      <c r="D143" s="123">
        <f>Módulo3[[#Totals],[Valor]]</f>
        <v>157.862265311111</v>
      </c>
    </row>
    <row r="144" spans="1:4">
      <c r="A144" s="115" t="s">
        <v>50</v>
      </c>
      <c r="B144" t="s">
        <v>174</v>
      </c>
      <c r="D144" s="123">
        <f>ResumoMódulo4[[#Totals],[Valor]]</f>
        <v>162.187758903987</v>
      </c>
    </row>
    <row r="145" spans="1:4">
      <c r="A145" s="115" t="s">
        <v>53</v>
      </c>
      <c r="B145" t="s">
        <v>152</v>
      </c>
      <c r="D145" s="123" t="e">
        <f>Módulo5[[#Totals],[Valor]]</f>
        <v>#REF!</v>
      </c>
    </row>
    <row r="146" spans="1:4">
      <c r="A146" t="s">
        <v>175</v>
      </c>
      <c r="D146" s="123" t="e">
        <f>SUM(D141:D145)</f>
        <v>#REF!</v>
      </c>
    </row>
    <row r="147" spans="1:4">
      <c r="A147" s="115" t="s">
        <v>55</v>
      </c>
      <c r="B147" t="s">
        <v>164</v>
      </c>
      <c r="D147" s="123" t="e">
        <f>Módulo6[[#Totals],[Valor]]</f>
        <v>#REF!</v>
      </c>
    </row>
    <row r="148" spans="1:4">
      <c r="A148" s="164" t="s">
        <v>176</v>
      </c>
      <c r="B148" s="164"/>
      <c r="C148" s="164"/>
      <c r="D148" s="181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C14" sqref="C14"/>
    </sheetView>
  </sheetViews>
  <sheetFormatPr defaultColWidth="9.13888888888889" defaultRowHeight="14.4" outlineLevelCol="6"/>
  <cols>
    <col min="1" max="1" width="10.5740740740741" customWidth="1"/>
    <col min="2" max="2" width="62.4259259259259" customWidth="1"/>
    <col min="3" max="3" width="20.287037037037" customWidth="1"/>
    <col min="4" max="4" width="28.5740740740741" customWidth="1"/>
    <col min="6" max="6" width="22.8611111111111" customWidth="1"/>
    <col min="7" max="7" width="11.4259259259259" customWidth="1"/>
  </cols>
  <sheetData>
    <row r="2" ht="18.75" spans="1:4">
      <c r="A2" s="91" t="s">
        <v>177</v>
      </c>
      <c r="B2" s="91"/>
      <c r="C2" s="91"/>
      <c r="D2" s="91"/>
    </row>
    <row r="3" ht="15.1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15" spans="1:4">
      <c r="A6" s="98" t="s">
        <v>181</v>
      </c>
      <c r="B6" s="98"/>
      <c r="C6" s="98"/>
      <c r="D6" s="98"/>
    </row>
    <row r="7" ht="15.1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15" spans="1:4">
      <c r="A11" s="107" t="s">
        <v>190</v>
      </c>
      <c r="B11" s="107"/>
      <c r="C11" s="107"/>
      <c r="D11" s="107"/>
    </row>
    <row r="12" ht="15.9" spans="1:4">
      <c r="A12" s="108" t="s">
        <v>191</v>
      </c>
      <c r="B12" s="108"/>
      <c r="C12" s="107" t="s">
        <v>192</v>
      </c>
      <c r="D12" s="109" t="s">
        <v>193</v>
      </c>
    </row>
    <row r="13" spans="1:4">
      <c r="A13" s="110" t="s">
        <v>194</v>
      </c>
      <c r="B13" s="110"/>
      <c r="C13" s="104" t="s">
        <v>195</v>
      </c>
      <c r="D13" s="111">
        <f>RESUMO!D3</f>
        <v>6</v>
      </c>
    </row>
    <row r="14" spans="1:4">
      <c r="A14" s="112"/>
      <c r="B14" s="112"/>
      <c r="C14" s="104"/>
      <c r="D14" s="113"/>
    </row>
    <row r="15" ht="15.15" spans="1:7">
      <c r="A15" s="107" t="s">
        <v>14</v>
      </c>
      <c r="B15" s="107"/>
      <c r="C15" s="107"/>
      <c r="D15" s="107"/>
      <c r="F15" s="114"/>
      <c r="G15" s="114"/>
    </row>
    <row r="16" ht="15.1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Tradutor-Intérprete de Libras</v>
      </c>
    </row>
    <row r="18" spans="1:4">
      <c r="A18" s="115">
        <v>2</v>
      </c>
      <c r="B18" t="s">
        <v>23</v>
      </c>
      <c r="C18" s="116" t="s">
        <v>196</v>
      </c>
      <c r="D18" s="116" t="s">
        <v>197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15" spans="4:7">
      <c r="D40" s="123"/>
      <c r="F40" s="126"/>
      <c r="G40" s="126"/>
    </row>
    <row r="41" ht="15.9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5.9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5.9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1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f>TRUNC(((22*4.9)*2)-((D25/100)*6),2)</f>
        <v>33.38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498.38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498.38</v>
      </c>
    </row>
    <row r="73" spans="1:4">
      <c r="A73" s="115" t="s">
        <v>58</v>
      </c>
      <c r="C73" s="115"/>
      <c r="D73" s="123">
        <f>TRUNC((SUM(D70:D72)),2)</f>
        <v>2532.56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28.8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15" spans="1:4">
      <c r="A84" s="115"/>
      <c r="D84" s="123"/>
    </row>
    <row r="85" ht="15.9" spans="1:4">
      <c r="A85" s="127" t="s">
        <v>211</v>
      </c>
      <c r="B85" s="127"/>
      <c r="C85" s="128" t="s">
        <v>202</v>
      </c>
      <c r="D85" s="129">
        <f>D31</f>
        <v>3036.91</v>
      </c>
    </row>
    <row r="86" ht="15.9" spans="1:4">
      <c r="A86" s="127"/>
      <c r="B86" s="127"/>
      <c r="C86" s="130" t="s">
        <v>212</v>
      </c>
      <c r="D86" s="129">
        <f>D73</f>
        <v>2532.56</v>
      </c>
    </row>
    <row r="87" ht="15.9" spans="1:4">
      <c r="A87" s="127"/>
      <c r="B87" s="127"/>
      <c r="C87" s="128" t="s">
        <v>213</v>
      </c>
      <c r="D87" s="129">
        <f>D83</f>
        <v>183.53</v>
      </c>
    </row>
    <row r="88" ht="15.9" spans="1:4">
      <c r="A88" s="127"/>
      <c r="B88" s="127"/>
      <c r="C88" s="130" t="s">
        <v>204</v>
      </c>
      <c r="D88" s="131">
        <f>TRUNC((SUM(D85:D87)),2)</f>
        <v>5753</v>
      </c>
    </row>
    <row r="89" ht="15.1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93.21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79.9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1.59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19.17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6.39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200.26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15.2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200.26</v>
      </c>
    </row>
    <row r="109" spans="1:4">
      <c r="A109" s="115" t="s">
        <v>145</v>
      </c>
      <c r="B109" t="s">
        <v>151</v>
      </c>
      <c r="C109" s="120"/>
      <c r="D109" s="152"/>
    </row>
    <row r="110" ht="72" spans="1:4">
      <c r="A110" s="135" t="s">
        <v>58</v>
      </c>
      <c r="B110" s="136"/>
      <c r="C110" s="148" t="s">
        <v>218</v>
      </c>
      <c r="D110" s="153">
        <f>TRUNC((SUM(D108:D109)),2)</f>
        <v>200.26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155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67">
        <v>0</v>
      </c>
    </row>
    <row r="119" spans="1:4">
      <c r="A119" s="115" t="s">
        <v>58</v>
      </c>
      <c r="D119" s="123">
        <f>SUBTOTAL(109,Módulo562_5811614[Valor])</f>
        <v>109.98</v>
      </c>
    </row>
    <row r="120" ht="15.15"/>
    <row r="121" ht="15.9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5.9" spans="1:4">
      <c r="A122" s="127"/>
      <c r="B122" s="127"/>
      <c r="C122" s="130" t="s">
        <v>212</v>
      </c>
      <c r="D122" s="129">
        <f>D73</f>
        <v>2532.56</v>
      </c>
    </row>
    <row r="123" ht="15.9" spans="1:4">
      <c r="A123" s="127"/>
      <c r="B123" s="127"/>
      <c r="C123" s="128" t="s">
        <v>213</v>
      </c>
      <c r="D123" s="129">
        <f>D83</f>
        <v>183.53</v>
      </c>
    </row>
    <row r="124" ht="15.9" spans="1:4">
      <c r="A124" s="127"/>
      <c r="B124" s="127"/>
      <c r="C124" s="130" t="s">
        <v>222</v>
      </c>
      <c r="D124" s="129">
        <f>D110</f>
        <v>200.26</v>
      </c>
    </row>
    <row r="125" ht="15.9" spans="1:4">
      <c r="A125" s="127"/>
      <c r="B125" s="127"/>
      <c r="C125" s="128" t="s">
        <v>223</v>
      </c>
      <c r="D125" s="129">
        <f>D119</f>
        <v>109.98</v>
      </c>
    </row>
    <row r="126" ht="15.9" spans="1:4">
      <c r="A126" s="127"/>
      <c r="B126" s="127"/>
      <c r="C126" s="130" t="s">
        <v>204</v>
      </c>
      <c r="D126" s="131">
        <f>TRUNC((SUM(D121:D125)),2)</f>
        <v>6063.24</v>
      </c>
    </row>
    <row r="127" ht="15.15"/>
    <row r="128" spans="1:4">
      <c r="A128" s="98" t="s">
        <v>164</v>
      </c>
      <c r="B128" s="98"/>
      <c r="C128" s="98"/>
      <c r="D128" s="98"/>
    </row>
    <row r="129" ht="15.1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15" spans="1:7">
      <c r="A130" s="115" t="s">
        <v>42</v>
      </c>
      <c r="B130" t="s">
        <v>167</v>
      </c>
      <c r="C130" s="156">
        <v>0.05</v>
      </c>
      <c r="D130" s="154">
        <f>TRUNC(($D$126*C130),2)</f>
        <v>303.16</v>
      </c>
      <c r="F130" s="157" t="s">
        <v>225</v>
      </c>
      <c r="G130" s="141">
        <f>C132</f>
        <v>0.0865</v>
      </c>
    </row>
    <row r="131" ht="15.15" spans="1:7">
      <c r="A131" s="115" t="s">
        <v>45</v>
      </c>
      <c r="B131" t="s">
        <v>59</v>
      </c>
      <c r="C131" s="156">
        <v>0.07</v>
      </c>
      <c r="D131" s="154">
        <f>TRUNC((C131*(D126+D130)),2)</f>
        <v>445.64</v>
      </c>
      <c r="F131" s="158" t="s">
        <v>226</v>
      </c>
      <c r="G131" s="159">
        <f>TRUNC(SUM(D126,D130,D131),2)</f>
        <v>6812.04</v>
      </c>
    </row>
    <row r="132" ht="15.1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645.03</v>
      </c>
      <c r="F132" s="157" t="s">
        <v>227</v>
      </c>
      <c r="G132" s="160">
        <f>(100-8.65)/100</f>
        <v>0.9135</v>
      </c>
    </row>
    <row r="133" ht="15.15" spans="1:7">
      <c r="A133" s="115"/>
      <c r="B133" t="s">
        <v>228</v>
      </c>
      <c r="C133" s="133">
        <v>0.0065</v>
      </c>
      <c r="D133" s="117">
        <f t="shared" ref="D133:D135" si="3">TRUNC(($G$133*C133),2)</f>
        <v>48.47</v>
      </c>
      <c r="F133" s="158" t="s">
        <v>224</v>
      </c>
      <c r="G133" s="159">
        <f>TRUNC((G131/G132),2)</f>
        <v>7457.07</v>
      </c>
    </row>
    <row r="134" ht="15.15" spans="1:4">
      <c r="A134" s="115"/>
      <c r="B134" t="s">
        <v>229</v>
      </c>
      <c r="C134" s="133">
        <v>0.03</v>
      </c>
      <c r="D134" s="117">
        <f t="shared" si="3"/>
        <v>223.71</v>
      </c>
    </row>
    <row r="135" spans="1:4">
      <c r="A135" s="115"/>
      <c r="B135" t="s">
        <v>230</v>
      </c>
      <c r="C135" s="133">
        <v>0.05</v>
      </c>
      <c r="D135" s="117">
        <f t="shared" si="3"/>
        <v>372.85</v>
      </c>
    </row>
    <row r="136" spans="1:4">
      <c r="A136" s="115" t="s">
        <v>58</v>
      </c>
      <c r="B136" s="161"/>
      <c r="C136" s="162"/>
      <c r="D136" s="123">
        <f>SUM(D130:D132)</f>
        <v>1393.83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2532.56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200.26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6063.24</v>
      </c>
    </row>
    <row r="147" spans="1:4">
      <c r="A147" s="115" t="s">
        <v>55</v>
      </c>
      <c r="B147" t="s">
        <v>164</v>
      </c>
      <c r="D147" s="123">
        <f>D136</f>
        <v>1393.83</v>
      </c>
    </row>
    <row r="148" spans="1:4">
      <c r="A148" s="164"/>
      <c r="B148" s="165" t="s">
        <v>231</v>
      </c>
      <c r="C148" s="164"/>
      <c r="D148" s="166">
        <f>TRUNC((SUM(D141:D145)+D147),2)</f>
        <v>7457.07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3888888888889" defaultRowHeight="14.4" outlineLevelCol="6"/>
  <cols>
    <col min="1" max="1" width="11.2314814814815" customWidth="1"/>
    <col min="2" max="2" width="46.0555555555556" customWidth="1"/>
    <col min="3" max="3" width="24.5555555555556" customWidth="1"/>
    <col min="4" max="4" width="41" customWidth="1"/>
    <col min="6" max="6" width="22.8611111111111" customWidth="1"/>
    <col min="7" max="7" width="11.4259259259259" customWidth="1"/>
    <col min="9" max="9" width="11.4259259259259"/>
  </cols>
  <sheetData>
    <row r="2" ht="18.75" spans="1:4">
      <c r="A2" s="91" t="s">
        <v>177</v>
      </c>
      <c r="B2" s="91"/>
      <c r="C2" s="91"/>
      <c r="D2" s="91"/>
    </row>
    <row r="3" ht="15.1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15" spans="1:4">
      <c r="A6" s="98" t="s">
        <v>181</v>
      </c>
      <c r="B6" s="98"/>
      <c r="C6" s="98"/>
      <c r="D6" s="98"/>
    </row>
    <row r="7" ht="15.1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15" spans="1:4">
      <c r="A11" s="107" t="s">
        <v>190</v>
      </c>
      <c r="B11" s="107"/>
      <c r="C11" s="107"/>
      <c r="D11" s="107"/>
    </row>
    <row r="12" ht="15.9" spans="1:4">
      <c r="A12" s="108" t="s">
        <v>191</v>
      </c>
      <c r="B12" s="108"/>
      <c r="C12" s="107" t="s">
        <v>192</v>
      </c>
      <c r="D12" s="109" t="s">
        <v>193</v>
      </c>
    </row>
    <row r="13" ht="15.15" spans="1:4">
      <c r="A13" s="110" t="s">
        <v>232</v>
      </c>
      <c r="B13" s="110"/>
      <c r="C13" s="104" t="s">
        <v>233</v>
      </c>
      <c r="D13" s="111">
        <f>RESUMO!D4</f>
        <v>2</v>
      </c>
    </row>
    <row r="14" spans="1:4">
      <c r="A14" s="112"/>
      <c r="B14" s="112"/>
      <c r="C14" s="104"/>
      <c r="D14" s="113"/>
    </row>
    <row r="15" ht="15.15" spans="1:7">
      <c r="A15" s="107" t="s">
        <v>14</v>
      </c>
      <c r="B15" s="107"/>
      <c r="C15" s="107"/>
      <c r="D15" s="107"/>
      <c r="F15" s="114"/>
      <c r="G15" s="114"/>
    </row>
    <row r="16" ht="15.1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Transcritor de Sistema Braille</v>
      </c>
    </row>
    <row r="18" spans="1:4">
      <c r="A18" s="115">
        <v>2</v>
      </c>
      <c r="B18" t="s">
        <v>23</v>
      </c>
      <c r="C18" s="116" t="s">
        <v>196</v>
      </c>
      <c r="D18" s="116" t="s">
        <v>234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1951.37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235</v>
      </c>
      <c r="D25" s="117">
        <f>D19</f>
        <v>1951.37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1951.37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162.61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216.81</v>
      </c>
      <c r="F38" s="126"/>
      <c r="G38" s="126"/>
    </row>
    <row r="39" spans="1:7">
      <c r="A39" s="115" t="s">
        <v>58</v>
      </c>
      <c r="D39" s="123">
        <f>TRUNC((SUM(D37:D38)),2)</f>
        <v>379.42</v>
      </c>
      <c r="F39" s="126"/>
      <c r="G39" s="126"/>
    </row>
    <row r="40" ht="15.15" spans="4:7">
      <c r="D40" s="123"/>
      <c r="F40" s="126"/>
      <c r="G40" s="126"/>
    </row>
    <row r="41" ht="15.9" spans="1:7">
      <c r="A41" s="127" t="s">
        <v>201</v>
      </c>
      <c r="B41" s="127"/>
      <c r="C41" s="128" t="s">
        <v>202</v>
      </c>
      <c r="D41" s="129">
        <f>D31</f>
        <v>1951.37</v>
      </c>
      <c r="F41" s="126"/>
      <c r="G41" s="126"/>
    </row>
    <row r="42" ht="15.9" spans="1:7">
      <c r="A42" s="127"/>
      <c r="B42" s="127"/>
      <c r="C42" s="130" t="s">
        <v>203</v>
      </c>
      <c r="D42" s="129">
        <f>D39</f>
        <v>379.42</v>
      </c>
      <c r="F42" s="126"/>
      <c r="G42" s="126"/>
    </row>
    <row r="43" ht="15.9" spans="1:7">
      <c r="A43" s="127"/>
      <c r="B43" s="127"/>
      <c r="C43" s="128" t="s">
        <v>204</v>
      </c>
      <c r="D43" s="131">
        <f>TRUNC((SUM(D41:D42)),2)</f>
        <v>2330.79</v>
      </c>
      <c r="F43" s="126"/>
      <c r="G43" s="126"/>
    </row>
    <row r="44" ht="15.1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466.15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58.26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139.84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34.96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23.3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13.98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4.66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186.46</v>
      </c>
    </row>
    <row r="55" spans="1:4">
      <c r="A55" s="115" t="s">
        <v>58</v>
      </c>
      <c r="C55" s="132">
        <f>SUM(C47:C54)</f>
        <v>0.398</v>
      </c>
      <c r="D55" s="123">
        <f>TRUNC(SUM(D47:D54),2)</f>
        <v>927.61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f>TRUNC(((22*4.9)*2)-((D25/100)*6),2)</f>
        <v>98.51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563.51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379.42</v>
      </c>
    </row>
    <row r="71" spans="1:4">
      <c r="A71" s="115" t="s">
        <v>78</v>
      </c>
      <c r="B71" t="s">
        <v>79</v>
      </c>
      <c r="C71" s="115"/>
      <c r="D71" s="123">
        <f>D55</f>
        <v>927.61</v>
      </c>
    </row>
    <row r="72" spans="1:4">
      <c r="A72" s="115" t="s">
        <v>96</v>
      </c>
      <c r="B72" t="s">
        <v>97</v>
      </c>
      <c r="C72" s="115"/>
      <c r="D72" s="123">
        <f>D66</f>
        <v>563.51</v>
      </c>
    </row>
    <row r="73" spans="1:4">
      <c r="A73" s="115" t="s">
        <v>58</v>
      </c>
      <c r="C73" s="115"/>
      <c r="D73" s="123">
        <f>TRUNC((SUM(D70:D72)),2)</f>
        <v>1870.54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>TRUNC(($D$31*C77),2)</f>
        <v>3.25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0.26</v>
      </c>
    </row>
    <row r="79" ht="28.8" spans="1:4">
      <c r="A79" s="115" t="s">
        <v>48</v>
      </c>
      <c r="B79" s="140" t="s">
        <v>113</v>
      </c>
      <c r="C79" s="141">
        <f>(0.08*0.4*0.02)</f>
        <v>0.00064</v>
      </c>
      <c r="D79" s="137">
        <f>TRUNC(($D$31*C79),2)</f>
        <v>1.24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>TRUNC(($D$31*C80),2)</f>
        <v>37.18</v>
      </c>
    </row>
    <row r="81" ht="28.8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14.79</v>
      </c>
    </row>
    <row r="82" ht="28.8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61.19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117.91</v>
      </c>
    </row>
    <row r="84" ht="15.15" spans="1:4">
      <c r="A84" s="115"/>
      <c r="D84" s="123"/>
    </row>
    <row r="85" ht="15.9" spans="1:4">
      <c r="A85" s="127" t="s">
        <v>211</v>
      </c>
      <c r="B85" s="127"/>
      <c r="C85" s="128" t="s">
        <v>202</v>
      </c>
      <c r="D85" s="129">
        <f>D31</f>
        <v>1951.37</v>
      </c>
    </row>
    <row r="86" ht="15.9" spans="1:4">
      <c r="A86" s="127"/>
      <c r="B86" s="127"/>
      <c r="C86" s="130" t="s">
        <v>212</v>
      </c>
      <c r="D86" s="129">
        <f>D73</f>
        <v>1870.54</v>
      </c>
    </row>
    <row r="87" ht="15.9" spans="1:4">
      <c r="A87" s="127"/>
      <c r="B87" s="127"/>
      <c r="C87" s="128" t="s">
        <v>213</v>
      </c>
      <c r="D87" s="129">
        <f>D83</f>
        <v>117.91</v>
      </c>
    </row>
    <row r="88" ht="15.9" spans="1:4">
      <c r="A88" s="127"/>
      <c r="B88" s="127"/>
      <c r="C88" s="130" t="s">
        <v>204</v>
      </c>
      <c r="D88" s="131">
        <f>TRUNC((SUM(D85:D87)),2)</f>
        <v>3939.82</v>
      </c>
    </row>
    <row r="89" ht="15.1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>TRUNC(($D$88*C93),2)</f>
        <v>63.83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ref="D93:D97" si="1">TRUNC(($D$88*C94),2)</f>
        <v>54.71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1"/>
        <v>1.09</v>
      </c>
    </row>
    <row r="96" ht="28.8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1"/>
        <v>13.13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1"/>
        <v>4.37</v>
      </c>
    </row>
    <row r="98" ht="28.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137.13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86.4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137.13</v>
      </c>
    </row>
    <row r="109" spans="1:4">
      <c r="A109" s="115" t="s">
        <v>145</v>
      </c>
      <c r="B109" t="s">
        <v>151</v>
      </c>
      <c r="C109" s="120"/>
      <c r="D109" s="152" t="str">
        <f>Submódulo4.260_55107[[#Totals],[Valor]]</f>
        <v>*=TRUNCAR(($D$86/220)*(1*(365/12))/2)</v>
      </c>
    </row>
    <row r="110" ht="72" spans="1:4">
      <c r="A110" s="135" t="s">
        <v>58</v>
      </c>
      <c r="B110" s="136"/>
      <c r="C110" s="148" t="s">
        <v>218</v>
      </c>
      <c r="D110" s="153">
        <f>TRUNC((SUM(D108:D109)),2)</f>
        <v>137.13</v>
      </c>
    </row>
    <row r="112" spans="1:4">
      <c r="A112" s="98" t="s">
        <v>152</v>
      </c>
      <c r="B112" s="98"/>
      <c r="C112" s="98"/>
      <c r="D112" s="98"/>
    </row>
    <row r="113" ht="37" customHeight="1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236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SUBTOTAL(109,Módulo562_58116[Valor])</f>
        <v>109.98</v>
      </c>
    </row>
    <row r="120" ht="15.15"/>
    <row r="121" ht="15.9" spans="1:4">
      <c r="A121" s="127" t="s">
        <v>221</v>
      </c>
      <c r="B121" s="127"/>
      <c r="C121" s="128" t="s">
        <v>202</v>
      </c>
      <c r="D121" s="129">
        <f>D31</f>
        <v>1951.37</v>
      </c>
    </row>
    <row r="122" ht="15.9" spans="1:4">
      <c r="A122" s="127"/>
      <c r="B122" s="127"/>
      <c r="C122" s="130" t="s">
        <v>212</v>
      </c>
      <c r="D122" s="129">
        <f>D73</f>
        <v>1870.54</v>
      </c>
    </row>
    <row r="123" ht="15.9" spans="1:4">
      <c r="A123" s="127"/>
      <c r="B123" s="127"/>
      <c r="C123" s="128" t="s">
        <v>213</v>
      </c>
      <c r="D123" s="129">
        <f>D83</f>
        <v>117.91</v>
      </c>
    </row>
    <row r="124" ht="15.9" spans="1:4">
      <c r="A124" s="127"/>
      <c r="B124" s="127"/>
      <c r="C124" s="130" t="s">
        <v>222</v>
      </c>
      <c r="D124" s="129">
        <f>D110</f>
        <v>137.13</v>
      </c>
    </row>
    <row r="125" ht="15.9" spans="1:4">
      <c r="A125" s="127"/>
      <c r="B125" s="127"/>
      <c r="C125" s="128" t="s">
        <v>223</v>
      </c>
      <c r="D125" s="129">
        <f>D119</f>
        <v>109.98</v>
      </c>
    </row>
    <row r="126" ht="15.9" spans="1:4">
      <c r="A126" s="127"/>
      <c r="B126" s="127"/>
      <c r="C126" s="130" t="s">
        <v>204</v>
      </c>
      <c r="D126" s="131">
        <f>TRUNC((SUM(D121:D125)),2)</f>
        <v>4186.93</v>
      </c>
    </row>
    <row r="127" ht="15.15"/>
    <row r="128" spans="1:4">
      <c r="A128" s="98" t="s">
        <v>164</v>
      </c>
      <c r="B128" s="98"/>
      <c r="C128" s="98"/>
      <c r="D128" s="98"/>
    </row>
    <row r="129" ht="15.1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15" spans="1:7">
      <c r="A130" s="115" t="s">
        <v>42</v>
      </c>
      <c r="B130" t="s">
        <v>167</v>
      </c>
      <c r="C130" s="156">
        <v>0.05</v>
      </c>
      <c r="D130" s="154">
        <f>TRUNC(($D$126*C130),2)</f>
        <v>209.34</v>
      </c>
      <c r="F130" s="157" t="s">
        <v>225</v>
      </c>
      <c r="G130" s="141">
        <f>C132</f>
        <v>0.0865</v>
      </c>
    </row>
    <row r="131" ht="15.15" spans="1:7">
      <c r="A131" s="115" t="s">
        <v>45</v>
      </c>
      <c r="B131" t="s">
        <v>59</v>
      </c>
      <c r="C131" s="156">
        <v>0.07</v>
      </c>
      <c r="D131" s="154">
        <f>TRUNC((C131*(D126+D130)),2)</f>
        <v>307.73</v>
      </c>
      <c r="F131" s="158" t="s">
        <v>226</v>
      </c>
      <c r="G131" s="159">
        <f>TRUNC(SUM(D126,D130,D131),2)</f>
        <v>4704</v>
      </c>
    </row>
    <row r="132" ht="15.1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445.42</v>
      </c>
      <c r="F132" s="157" t="s">
        <v>227</v>
      </c>
      <c r="G132" s="160">
        <f>(100-8.65)/100</f>
        <v>0.9135</v>
      </c>
    </row>
    <row r="133" ht="15.15" spans="1:7">
      <c r="A133" s="115"/>
      <c r="B133" t="s">
        <v>228</v>
      </c>
      <c r="C133" s="133">
        <v>0.0065</v>
      </c>
      <c r="D133" s="117">
        <f t="shared" ref="D133:D135" si="2">TRUNC(($G$133*C133),2)</f>
        <v>33.47</v>
      </c>
      <c r="F133" s="158" t="s">
        <v>224</v>
      </c>
      <c r="G133" s="159">
        <f>TRUNC((G131/G132),2)</f>
        <v>5149.42</v>
      </c>
    </row>
    <row r="134" ht="15.15" spans="1:4">
      <c r="A134" s="115"/>
      <c r="B134" t="s">
        <v>229</v>
      </c>
      <c r="C134" s="133">
        <v>0.03</v>
      </c>
      <c r="D134" s="117">
        <f t="shared" si="2"/>
        <v>154.48</v>
      </c>
    </row>
    <row r="135" spans="1:4">
      <c r="A135" s="115"/>
      <c r="B135" t="s">
        <v>230</v>
      </c>
      <c r="C135" s="133">
        <v>0.05</v>
      </c>
      <c r="D135" s="117">
        <f t="shared" si="2"/>
        <v>257.47</v>
      </c>
    </row>
    <row r="136" spans="1:4">
      <c r="A136" s="115" t="s">
        <v>58</v>
      </c>
      <c r="B136" s="161"/>
      <c r="C136" s="162"/>
      <c r="D136" s="123">
        <f>SUM(D130:D132)</f>
        <v>962.49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1951.37</v>
      </c>
    </row>
    <row r="142" spans="1:4">
      <c r="A142" s="115" t="s">
        <v>45</v>
      </c>
      <c r="B142" t="s">
        <v>61</v>
      </c>
      <c r="D142" s="123">
        <f>D73</f>
        <v>1870.54</v>
      </c>
    </row>
    <row r="143" spans="1:4">
      <c r="A143" s="115" t="s">
        <v>48</v>
      </c>
      <c r="B143" t="s">
        <v>108</v>
      </c>
      <c r="D143" s="123">
        <f>D83</f>
        <v>117.91</v>
      </c>
    </row>
    <row r="144" spans="1:4">
      <c r="A144" s="115" t="s">
        <v>50</v>
      </c>
      <c r="B144" t="s">
        <v>174</v>
      </c>
      <c r="D144" s="123">
        <f>D110</f>
        <v>137.13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4186.93</v>
      </c>
    </row>
    <row r="147" spans="1:4">
      <c r="A147" s="115" t="s">
        <v>55</v>
      </c>
      <c r="B147" t="s">
        <v>164</v>
      </c>
      <c r="D147" s="123">
        <f>D136</f>
        <v>962.49</v>
      </c>
    </row>
    <row r="148" spans="1:4">
      <c r="A148" s="164"/>
      <c r="B148" s="165" t="s">
        <v>231</v>
      </c>
      <c r="C148" s="164"/>
      <c r="D148" s="166">
        <f>TRUNC((SUM(D141:D145)+D147),2)</f>
        <v>5149.42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3888888888889" defaultRowHeight="14.4" outlineLevelCol="6"/>
  <cols>
    <col min="1" max="1" width="10.5740740740741" customWidth="1"/>
    <col min="2" max="2" width="56.5740740740741" customWidth="1"/>
    <col min="3" max="3" width="20.287037037037" customWidth="1"/>
    <col min="4" max="4" width="32.4259259259259" customWidth="1"/>
    <col min="6" max="6" width="22.8611111111111" customWidth="1"/>
    <col min="7" max="7" width="11.4259259259259" customWidth="1"/>
  </cols>
  <sheetData>
    <row r="2" ht="18.75" spans="1:4">
      <c r="A2" s="91" t="s">
        <v>177</v>
      </c>
      <c r="B2" s="91"/>
      <c r="C2" s="91"/>
      <c r="D2" s="91"/>
    </row>
    <row r="3" ht="15.1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15" spans="1:4">
      <c r="A6" s="98" t="s">
        <v>181</v>
      </c>
      <c r="B6" s="98"/>
      <c r="C6" s="98"/>
      <c r="D6" s="98"/>
    </row>
    <row r="7" ht="15.1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15" spans="1:4">
      <c r="A11" s="107" t="s">
        <v>190</v>
      </c>
      <c r="B11" s="107"/>
      <c r="C11" s="107"/>
      <c r="D11" s="107"/>
    </row>
    <row r="12" ht="15.9" spans="1:4">
      <c r="A12" s="108" t="s">
        <v>191</v>
      </c>
      <c r="B12" s="108"/>
      <c r="C12" s="107" t="s">
        <v>192</v>
      </c>
      <c r="D12" s="109" t="s">
        <v>193</v>
      </c>
    </row>
    <row r="13" ht="15.15" spans="1:4">
      <c r="A13" s="110" t="s">
        <v>237</v>
      </c>
      <c r="B13" s="110"/>
      <c r="C13" s="104" t="s">
        <v>233</v>
      </c>
      <c r="D13" s="111">
        <f>RESUMO!D5</f>
        <v>3</v>
      </c>
    </row>
    <row r="14" spans="1:4">
      <c r="A14" s="112"/>
      <c r="B14" s="112"/>
      <c r="C14" s="104"/>
      <c r="D14" s="113"/>
    </row>
    <row r="15" ht="15.15" spans="1:7">
      <c r="A15" s="107" t="s">
        <v>14</v>
      </c>
      <c r="B15" s="107"/>
      <c r="C15" s="107"/>
      <c r="D15" s="107"/>
      <c r="F15" s="114"/>
      <c r="G15" s="114"/>
    </row>
    <row r="16" ht="15.1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Cuidador</v>
      </c>
    </row>
    <row r="18" spans="1:4">
      <c r="A18" s="115">
        <v>2</v>
      </c>
      <c r="B18" t="s">
        <v>23</v>
      </c>
      <c r="C18" s="116" t="s">
        <v>196</v>
      </c>
      <c r="D18" s="116" t="s">
        <v>238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1951.37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235</v>
      </c>
      <c r="D25" s="117">
        <f>D19</f>
        <v>1951.37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1951.37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162.61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216.81</v>
      </c>
      <c r="F38" s="126"/>
      <c r="G38" s="126"/>
    </row>
    <row r="39" spans="1:7">
      <c r="A39" s="115" t="s">
        <v>58</v>
      </c>
      <c r="D39" s="123">
        <f>TRUNC((SUM(D37:D38)),2)</f>
        <v>379.42</v>
      </c>
      <c r="F39" s="126"/>
      <c r="G39" s="126"/>
    </row>
    <row r="40" ht="15.15" spans="4:7">
      <c r="D40" s="123"/>
      <c r="F40" s="126"/>
      <c r="G40" s="126"/>
    </row>
    <row r="41" ht="15.9" spans="1:7">
      <c r="A41" s="127" t="s">
        <v>201</v>
      </c>
      <c r="B41" s="127"/>
      <c r="C41" s="128" t="s">
        <v>202</v>
      </c>
      <c r="D41" s="129">
        <f>D31</f>
        <v>1951.37</v>
      </c>
      <c r="F41" s="126"/>
      <c r="G41" s="126"/>
    </row>
    <row r="42" ht="15.9" spans="1:7">
      <c r="A42" s="127"/>
      <c r="B42" s="127"/>
      <c r="C42" s="130" t="s">
        <v>203</v>
      </c>
      <c r="D42" s="129">
        <f>D39</f>
        <v>379.42</v>
      </c>
      <c r="F42" s="126"/>
      <c r="G42" s="126"/>
    </row>
    <row r="43" ht="15.9" spans="1:7">
      <c r="A43" s="127"/>
      <c r="B43" s="127"/>
      <c r="C43" s="128" t="s">
        <v>204</v>
      </c>
      <c r="D43" s="131">
        <f>TRUNC((SUM(D41:D42)),2)</f>
        <v>2330.79</v>
      </c>
      <c r="F43" s="126"/>
      <c r="G43" s="126"/>
    </row>
    <row r="44" ht="15.1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466.15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58.26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139.84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34.96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23.3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13.98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4.66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186.46</v>
      </c>
    </row>
    <row r="55" spans="1:4">
      <c r="A55" s="115" t="s">
        <v>58</v>
      </c>
      <c r="C55" s="132">
        <f>SUM(C47:C54)</f>
        <v>0.398</v>
      </c>
      <c r="D55" s="123">
        <f>TRUNC(SUM(D47:D54),2)</f>
        <v>927.61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f>TRUNC(((22*4.9)*2)-((D25/100)*6),2)</f>
        <v>98.51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563.51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379.42</v>
      </c>
    </row>
    <row r="71" spans="1:4">
      <c r="A71" s="115" t="s">
        <v>78</v>
      </c>
      <c r="B71" t="s">
        <v>79</v>
      </c>
      <c r="C71" s="115"/>
      <c r="D71" s="123">
        <f>D55</f>
        <v>927.61</v>
      </c>
    </row>
    <row r="72" spans="1:4">
      <c r="A72" s="115" t="s">
        <v>96</v>
      </c>
      <c r="B72" t="s">
        <v>97</v>
      </c>
      <c r="C72" s="115"/>
      <c r="D72" s="123">
        <f>D66</f>
        <v>563.51</v>
      </c>
    </row>
    <row r="73" spans="1:4">
      <c r="A73" s="115" t="s">
        <v>58</v>
      </c>
      <c r="C73" s="115"/>
      <c r="D73" s="123">
        <f>TRUNC((SUM(D70:D72)),2)</f>
        <v>1870.54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3.25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0.26</v>
      </c>
    </row>
    <row r="79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1.24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37.18</v>
      </c>
    </row>
    <row r="81" ht="28.8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14.79</v>
      </c>
    </row>
    <row r="82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61.19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117.91</v>
      </c>
    </row>
    <row r="84" ht="15.15" spans="1:4">
      <c r="A84" s="115"/>
      <c r="D84" s="123"/>
    </row>
    <row r="85" ht="15.9" spans="1:4">
      <c r="A85" s="127" t="s">
        <v>211</v>
      </c>
      <c r="B85" s="127"/>
      <c r="C85" s="128" t="s">
        <v>202</v>
      </c>
      <c r="D85" s="129">
        <f>D31</f>
        <v>1951.37</v>
      </c>
    </row>
    <row r="86" ht="15.9" spans="1:4">
      <c r="A86" s="127"/>
      <c r="B86" s="127"/>
      <c r="C86" s="130" t="s">
        <v>212</v>
      </c>
      <c r="D86" s="129">
        <f>D73</f>
        <v>1870.54</v>
      </c>
    </row>
    <row r="87" ht="15.9" spans="1:4">
      <c r="A87" s="127"/>
      <c r="B87" s="127"/>
      <c r="C87" s="128" t="s">
        <v>213</v>
      </c>
      <c r="D87" s="129">
        <f>D83</f>
        <v>117.91</v>
      </c>
    </row>
    <row r="88" ht="15.9" spans="1:4">
      <c r="A88" s="127"/>
      <c r="B88" s="127"/>
      <c r="C88" s="130" t="s">
        <v>204</v>
      </c>
      <c r="D88" s="131">
        <f>TRUNC((SUM(D85:D87)),2)</f>
        <v>3939.82</v>
      </c>
    </row>
    <row r="89" ht="15.1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63.83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54.71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1.09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13.13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4.37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137.13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15.2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137.13</v>
      </c>
    </row>
    <row r="109" spans="1:4">
      <c r="A109" s="115" t="s">
        <v>145</v>
      </c>
      <c r="B109" t="s">
        <v>151</v>
      </c>
      <c r="C109" s="120"/>
      <c r="D109" s="152" t="str">
        <f>Submódulo4.260_5510744[[#Totals],[Valor]]</f>
        <v>*=TRUNCAR(($D$86/220)*(1*(365/12))/2)</v>
      </c>
    </row>
    <row r="110" ht="72" spans="1:4">
      <c r="A110" s="135" t="s">
        <v>58</v>
      </c>
      <c r="B110" s="136"/>
      <c r="C110" s="148" t="s">
        <v>218</v>
      </c>
      <c r="D110" s="153">
        <f>TRUNC((SUM(D108:D109)),2)</f>
        <v>137.13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155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SUBTOTAL(109,Módulo562_5811641[Valor])</f>
        <v>109.98</v>
      </c>
    </row>
    <row r="120" ht="15.15"/>
    <row r="121" ht="15.9" spans="1:4">
      <c r="A121" s="127" t="s">
        <v>221</v>
      </c>
      <c r="B121" s="127"/>
      <c r="C121" s="128" t="s">
        <v>202</v>
      </c>
      <c r="D121" s="129">
        <f>D31</f>
        <v>1951.37</v>
      </c>
    </row>
    <row r="122" ht="15.9" spans="1:4">
      <c r="A122" s="127"/>
      <c r="B122" s="127"/>
      <c r="C122" s="130" t="s">
        <v>212</v>
      </c>
      <c r="D122" s="129">
        <f>D73</f>
        <v>1870.54</v>
      </c>
    </row>
    <row r="123" ht="15.9" spans="1:4">
      <c r="A123" s="127"/>
      <c r="B123" s="127"/>
      <c r="C123" s="128" t="s">
        <v>213</v>
      </c>
      <c r="D123" s="129">
        <f>D83</f>
        <v>117.91</v>
      </c>
    </row>
    <row r="124" ht="15.9" spans="1:4">
      <c r="A124" s="127"/>
      <c r="B124" s="127"/>
      <c r="C124" s="130" t="s">
        <v>222</v>
      </c>
      <c r="D124" s="129">
        <f>D110</f>
        <v>137.13</v>
      </c>
    </row>
    <row r="125" ht="15.9" spans="1:4">
      <c r="A125" s="127"/>
      <c r="B125" s="127"/>
      <c r="C125" s="128" t="s">
        <v>223</v>
      </c>
      <c r="D125" s="129">
        <f>D119</f>
        <v>109.98</v>
      </c>
    </row>
    <row r="126" ht="15.9" spans="1:4">
      <c r="A126" s="127"/>
      <c r="B126" s="127"/>
      <c r="C126" s="130" t="s">
        <v>204</v>
      </c>
      <c r="D126" s="131">
        <f>TRUNC((SUM(D121:D125)),2)</f>
        <v>4186.93</v>
      </c>
    </row>
    <row r="127" ht="15.15"/>
    <row r="128" spans="1:4">
      <c r="A128" s="98" t="s">
        <v>164</v>
      </c>
      <c r="B128" s="98"/>
      <c r="C128" s="98"/>
      <c r="D128" s="98"/>
    </row>
    <row r="129" ht="15.1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15" spans="1:7">
      <c r="A130" s="115" t="s">
        <v>42</v>
      </c>
      <c r="B130" t="s">
        <v>167</v>
      </c>
      <c r="C130" s="156">
        <v>0.05</v>
      </c>
      <c r="D130" s="154">
        <f>TRUNC(($D$126*C130),2)</f>
        <v>209.34</v>
      </c>
      <c r="F130" s="157" t="s">
        <v>225</v>
      </c>
      <c r="G130" s="141">
        <f>C132</f>
        <v>0.0865</v>
      </c>
    </row>
    <row r="131" ht="15.15" spans="1:7">
      <c r="A131" s="115" t="s">
        <v>45</v>
      </c>
      <c r="B131" t="s">
        <v>59</v>
      </c>
      <c r="C131" s="156">
        <v>0.07</v>
      </c>
      <c r="D131" s="154">
        <f>TRUNC((C131*(D126+D130)),2)</f>
        <v>307.73</v>
      </c>
      <c r="F131" s="158" t="s">
        <v>226</v>
      </c>
      <c r="G131" s="159">
        <f>TRUNC(SUM(D126,D130,D131),2)</f>
        <v>4704</v>
      </c>
    </row>
    <row r="132" ht="15.1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445.42</v>
      </c>
      <c r="F132" s="157" t="s">
        <v>227</v>
      </c>
      <c r="G132" s="160">
        <f>(100-8.65)/100</f>
        <v>0.9135</v>
      </c>
    </row>
    <row r="133" ht="15.15" spans="1:7">
      <c r="A133" s="115"/>
      <c r="B133" t="s">
        <v>228</v>
      </c>
      <c r="C133" s="133">
        <v>0.0065</v>
      </c>
      <c r="D133" s="117">
        <f t="shared" ref="D133:D135" si="3">TRUNC(($G$133*C133),2)</f>
        <v>33.47</v>
      </c>
      <c r="F133" s="158" t="s">
        <v>224</v>
      </c>
      <c r="G133" s="159">
        <f>TRUNC((G131/G132),2)</f>
        <v>5149.42</v>
      </c>
    </row>
    <row r="134" ht="15.15" spans="1:4">
      <c r="A134" s="115"/>
      <c r="B134" t="s">
        <v>229</v>
      </c>
      <c r="C134" s="133">
        <v>0.03</v>
      </c>
      <c r="D134" s="117">
        <f t="shared" si="3"/>
        <v>154.48</v>
      </c>
    </row>
    <row r="135" spans="1:4">
      <c r="A135" s="115"/>
      <c r="B135" t="s">
        <v>230</v>
      </c>
      <c r="C135" s="133">
        <v>0.05</v>
      </c>
      <c r="D135" s="117">
        <f t="shared" si="3"/>
        <v>257.47</v>
      </c>
    </row>
    <row r="136" spans="1:4">
      <c r="A136" s="115" t="s">
        <v>58</v>
      </c>
      <c r="B136" s="161"/>
      <c r="C136" s="162"/>
      <c r="D136" s="123">
        <f>SUM(D130:D132)</f>
        <v>962.49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1951.37</v>
      </c>
    </row>
    <row r="142" spans="1:4">
      <c r="A142" s="115" t="s">
        <v>45</v>
      </c>
      <c r="B142" t="s">
        <v>61</v>
      </c>
      <c r="D142" s="123">
        <f>D73</f>
        <v>1870.54</v>
      </c>
    </row>
    <row r="143" spans="1:4">
      <c r="A143" s="115" t="s">
        <v>48</v>
      </c>
      <c r="B143" t="s">
        <v>108</v>
      </c>
      <c r="D143" s="123">
        <f>D83</f>
        <v>117.91</v>
      </c>
    </row>
    <row r="144" spans="1:4">
      <c r="A144" s="115" t="s">
        <v>50</v>
      </c>
      <c r="B144" t="s">
        <v>174</v>
      </c>
      <c r="D144" s="123">
        <f>D110</f>
        <v>137.13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4186.93</v>
      </c>
    </row>
    <row r="147" spans="1:4">
      <c r="A147" s="115" t="s">
        <v>55</v>
      </c>
      <c r="B147" t="s">
        <v>164</v>
      </c>
      <c r="D147" s="123">
        <f>D136</f>
        <v>962.49</v>
      </c>
    </row>
    <row r="148" spans="1:4">
      <c r="A148" s="164"/>
      <c r="B148" s="165" t="s">
        <v>231</v>
      </c>
      <c r="C148" s="164"/>
      <c r="D148" s="166">
        <f>TRUNC((SUM(D141:D145)+D147),2)</f>
        <v>5149.42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3888888888889" defaultRowHeight="14.4" outlineLevelCol="6"/>
  <cols>
    <col min="1" max="1" width="12.4259259259259" customWidth="1"/>
    <col min="2" max="2" width="56.287037037037" customWidth="1"/>
    <col min="3" max="3" width="22.4259259259259" customWidth="1"/>
    <col min="4" max="4" width="34.5740740740741" customWidth="1"/>
    <col min="6" max="6" width="22.8611111111111" customWidth="1"/>
    <col min="7" max="7" width="11.4259259259259" customWidth="1"/>
  </cols>
  <sheetData>
    <row r="2" ht="18.75" spans="1:4">
      <c r="A2" s="91" t="s">
        <v>177</v>
      </c>
      <c r="B2" s="91"/>
      <c r="C2" s="91"/>
      <c r="D2" s="91"/>
    </row>
    <row r="3" ht="15.1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15" spans="1:4">
      <c r="A6" s="98" t="s">
        <v>181</v>
      </c>
      <c r="B6" s="98"/>
      <c r="C6" s="98"/>
      <c r="D6" s="98"/>
    </row>
    <row r="7" ht="15.1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15" spans="1:4">
      <c r="A11" s="107" t="s">
        <v>190</v>
      </c>
      <c r="B11" s="107"/>
      <c r="C11" s="107"/>
      <c r="D11" s="107"/>
    </row>
    <row r="12" ht="15.9" spans="1:4">
      <c r="A12" s="108" t="s">
        <v>191</v>
      </c>
      <c r="B12" s="108"/>
      <c r="C12" s="107" t="s">
        <v>192</v>
      </c>
      <c r="D12" s="109" t="s">
        <v>193</v>
      </c>
    </row>
    <row r="13" ht="15.15" spans="1:4">
      <c r="A13" s="110" t="s">
        <v>239</v>
      </c>
      <c r="B13" s="110"/>
      <c r="C13" s="104" t="s">
        <v>233</v>
      </c>
      <c r="D13" s="111">
        <f>RESUMO!D6</f>
        <v>3</v>
      </c>
    </row>
    <row r="14" spans="1:4">
      <c r="A14" s="112"/>
      <c r="B14" s="112"/>
      <c r="C14" s="104"/>
      <c r="D14" s="113"/>
    </row>
    <row r="15" ht="15.15" spans="1:7">
      <c r="A15" s="107" t="s">
        <v>14</v>
      </c>
      <c r="B15" s="107"/>
      <c r="C15" s="107"/>
      <c r="D15" s="107"/>
      <c r="F15" s="114"/>
      <c r="G15" s="114"/>
    </row>
    <row r="16" ht="15.1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Audiodescritor</v>
      </c>
    </row>
    <row r="18" spans="1:4">
      <c r="A18" s="115">
        <v>2</v>
      </c>
      <c r="B18" t="s">
        <v>23</v>
      </c>
      <c r="C18" s="116" t="s">
        <v>196</v>
      </c>
      <c r="D18" s="116" t="s">
        <v>240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15" spans="4:7">
      <c r="D40" s="123"/>
      <c r="F40" s="126"/>
      <c r="G40" s="126"/>
    </row>
    <row r="41" ht="15.9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5.9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5.9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1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f>TRUNC(((22*4.9)*2)-((D25/100)*6),2)</f>
        <v>33.38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498.38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498.38</v>
      </c>
    </row>
    <row r="73" spans="1:4">
      <c r="A73" s="115" t="s">
        <v>58</v>
      </c>
      <c r="C73" s="115"/>
      <c r="D73" s="123">
        <f>TRUNC((SUM(D70:D72)),2)</f>
        <v>2532.56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28.8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ht="28.8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15" spans="1:4">
      <c r="A84" s="115"/>
      <c r="D84" s="123"/>
    </row>
    <row r="85" ht="15.9" spans="1:4">
      <c r="A85" s="127" t="s">
        <v>211</v>
      </c>
      <c r="B85" s="127"/>
      <c r="C85" s="128" t="s">
        <v>202</v>
      </c>
      <c r="D85" s="129">
        <f>D31</f>
        <v>3036.91</v>
      </c>
    </row>
    <row r="86" ht="15.9" spans="1:4">
      <c r="A86" s="127"/>
      <c r="B86" s="127"/>
      <c r="C86" s="130" t="s">
        <v>212</v>
      </c>
      <c r="D86" s="129">
        <f>D73</f>
        <v>2532.56</v>
      </c>
    </row>
    <row r="87" ht="15.9" spans="1:4">
      <c r="A87" s="127"/>
      <c r="B87" s="127"/>
      <c r="C87" s="128" t="s">
        <v>213</v>
      </c>
      <c r="D87" s="129">
        <f>D83</f>
        <v>183.53</v>
      </c>
    </row>
    <row r="88" ht="15.9" spans="1:4">
      <c r="A88" s="127"/>
      <c r="B88" s="127"/>
      <c r="C88" s="130" t="s">
        <v>204</v>
      </c>
      <c r="D88" s="131">
        <f>TRUNC((SUM(D85:D87)),2)</f>
        <v>5753</v>
      </c>
    </row>
    <row r="89" ht="15.1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93.21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79.9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1.59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19.17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6.39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200.26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00.8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200.26</v>
      </c>
    </row>
    <row r="109" spans="1:4">
      <c r="A109" s="115" t="s">
        <v>145</v>
      </c>
      <c r="B109" t="s">
        <v>151</v>
      </c>
      <c r="C109" s="120"/>
      <c r="D109" s="152" t="str">
        <f>Submódulo4.260_5510757[[#Totals],[Valor]]</f>
        <v>*=TRUNCAR(($D$86/220)*(1*(365/12))/2)</v>
      </c>
    </row>
    <row r="110" ht="72" spans="1:4">
      <c r="A110" s="135" t="s">
        <v>58</v>
      </c>
      <c r="B110" s="136"/>
      <c r="C110" s="148" t="s">
        <v>218</v>
      </c>
      <c r="D110" s="153">
        <f>TRUNC((SUM(D108:D109)),2)</f>
        <v>200.26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241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SUBTOTAL(109,Módulo562_5811654[Valor])</f>
        <v>109.98</v>
      </c>
    </row>
    <row r="120" ht="15.15"/>
    <row r="121" ht="15.9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5.9" spans="1:4">
      <c r="A122" s="127"/>
      <c r="B122" s="127"/>
      <c r="C122" s="130" t="s">
        <v>212</v>
      </c>
      <c r="D122" s="129">
        <f>D73</f>
        <v>2532.56</v>
      </c>
    </row>
    <row r="123" ht="15.9" spans="1:4">
      <c r="A123" s="127"/>
      <c r="B123" s="127"/>
      <c r="C123" s="128" t="s">
        <v>213</v>
      </c>
      <c r="D123" s="129">
        <f>D83</f>
        <v>183.53</v>
      </c>
    </row>
    <row r="124" ht="15.9" spans="1:4">
      <c r="A124" s="127"/>
      <c r="B124" s="127"/>
      <c r="C124" s="130" t="s">
        <v>222</v>
      </c>
      <c r="D124" s="129">
        <f>D110</f>
        <v>200.26</v>
      </c>
    </row>
    <row r="125" ht="15.9" spans="1:4">
      <c r="A125" s="127"/>
      <c r="B125" s="127"/>
      <c r="C125" s="128" t="s">
        <v>223</v>
      </c>
      <c r="D125" s="129">
        <f>D119</f>
        <v>109.98</v>
      </c>
    </row>
    <row r="126" ht="15.9" spans="1:4">
      <c r="A126" s="127"/>
      <c r="B126" s="127"/>
      <c r="C126" s="130" t="s">
        <v>204</v>
      </c>
      <c r="D126" s="131">
        <f>TRUNC((SUM(D121:D125)),2)</f>
        <v>6063.24</v>
      </c>
    </row>
    <row r="127" ht="15.15"/>
    <row r="128" spans="1:4">
      <c r="A128" s="98" t="s">
        <v>164</v>
      </c>
      <c r="B128" s="98"/>
      <c r="C128" s="98"/>
      <c r="D128" s="98"/>
    </row>
    <row r="129" ht="15.1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15" spans="1:7">
      <c r="A130" s="115" t="s">
        <v>42</v>
      </c>
      <c r="B130" t="s">
        <v>167</v>
      </c>
      <c r="C130" s="156">
        <v>0.05</v>
      </c>
      <c r="D130" s="154">
        <f>TRUNC(($D$126*C130),2)</f>
        <v>303.16</v>
      </c>
      <c r="F130" s="157" t="s">
        <v>225</v>
      </c>
      <c r="G130" s="141">
        <f>C132</f>
        <v>0.0865</v>
      </c>
    </row>
    <row r="131" ht="15.15" spans="1:7">
      <c r="A131" s="115" t="s">
        <v>45</v>
      </c>
      <c r="B131" t="s">
        <v>59</v>
      </c>
      <c r="C131" s="156">
        <v>0.07</v>
      </c>
      <c r="D131" s="154">
        <f>TRUNC((C131*(D126+D130)),2)</f>
        <v>445.64</v>
      </c>
      <c r="F131" s="158" t="s">
        <v>226</v>
      </c>
      <c r="G131" s="159">
        <f>TRUNC(SUM(D126,D130,D131),2)</f>
        <v>6812.04</v>
      </c>
    </row>
    <row r="132" ht="15.1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645.03</v>
      </c>
      <c r="F132" s="157" t="s">
        <v>227</v>
      </c>
      <c r="G132" s="160">
        <f>(100-8.65)/100</f>
        <v>0.9135</v>
      </c>
    </row>
    <row r="133" ht="15.15" spans="1:7">
      <c r="A133" s="115"/>
      <c r="B133" t="s">
        <v>228</v>
      </c>
      <c r="C133" s="133">
        <v>0.0065</v>
      </c>
      <c r="D133" s="117">
        <f t="shared" ref="D133:D135" si="3">TRUNC(($G$133*C133),2)</f>
        <v>48.47</v>
      </c>
      <c r="F133" s="158" t="s">
        <v>224</v>
      </c>
      <c r="G133" s="159">
        <f>TRUNC((G131/G132),2)</f>
        <v>7457.07</v>
      </c>
    </row>
    <row r="134" ht="15.15" spans="1:4">
      <c r="A134" s="115"/>
      <c r="B134" t="s">
        <v>229</v>
      </c>
      <c r="C134" s="133">
        <v>0.03</v>
      </c>
      <c r="D134" s="117">
        <f t="shared" si="3"/>
        <v>223.71</v>
      </c>
    </row>
    <row r="135" spans="1:4">
      <c r="A135" s="115"/>
      <c r="B135" t="s">
        <v>230</v>
      </c>
      <c r="C135" s="133">
        <v>0.05</v>
      </c>
      <c r="D135" s="117">
        <f t="shared" si="3"/>
        <v>372.85</v>
      </c>
    </row>
    <row r="136" spans="1:4">
      <c r="A136" s="115" t="s">
        <v>58</v>
      </c>
      <c r="B136" s="161"/>
      <c r="C136" s="162"/>
      <c r="D136" s="123">
        <f>SUM(D130:D132)</f>
        <v>1393.83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2532.56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200.26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6063.24</v>
      </c>
    </row>
    <row r="147" spans="1:4">
      <c r="A147" s="115" t="s">
        <v>55</v>
      </c>
      <c r="B147" t="s">
        <v>164</v>
      </c>
      <c r="D147" s="123">
        <f>D136</f>
        <v>1393.83</v>
      </c>
    </row>
    <row r="148" spans="1:4">
      <c r="A148" s="164"/>
      <c r="B148" s="165" t="s">
        <v>231</v>
      </c>
      <c r="C148" s="164"/>
      <c r="D148" s="166">
        <f>TRUNC((SUM(D141:D145)+D147),2)</f>
        <v>7457.07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3888888888889" defaultRowHeight="14.4" outlineLevelCol="6"/>
  <cols>
    <col min="1" max="1" width="13.1388888888889" customWidth="1"/>
    <col min="2" max="2" width="57.4259259259259" customWidth="1"/>
    <col min="3" max="3" width="24.1388888888889" customWidth="1"/>
    <col min="4" max="4" width="33.712962962963" customWidth="1"/>
    <col min="6" max="6" width="22.8611111111111" customWidth="1"/>
    <col min="7" max="7" width="11.4259259259259" customWidth="1"/>
  </cols>
  <sheetData>
    <row r="2" ht="18.75" spans="1:4">
      <c r="A2" s="91" t="s">
        <v>177</v>
      </c>
      <c r="B2" s="91"/>
      <c r="C2" s="91"/>
      <c r="D2" s="91"/>
    </row>
    <row r="3" ht="15.1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15" spans="1:4">
      <c r="A6" s="98" t="s">
        <v>181</v>
      </c>
      <c r="B6" s="98"/>
      <c r="C6" s="98"/>
      <c r="D6" s="98"/>
    </row>
    <row r="7" ht="15.1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15" spans="1:4">
      <c r="A11" s="107" t="s">
        <v>190</v>
      </c>
      <c r="B11" s="107"/>
      <c r="C11" s="107"/>
      <c r="D11" s="107"/>
    </row>
    <row r="12" ht="15.9" spans="1:4">
      <c r="A12" s="108" t="s">
        <v>191</v>
      </c>
      <c r="B12" s="108"/>
      <c r="C12" s="107" t="s">
        <v>192</v>
      </c>
      <c r="D12" s="109" t="s">
        <v>193</v>
      </c>
    </row>
    <row r="13" ht="15.15" spans="1:4">
      <c r="A13" s="110" t="s">
        <v>242</v>
      </c>
      <c r="B13" s="110"/>
      <c r="C13" s="104" t="s">
        <v>233</v>
      </c>
      <c r="D13" s="111">
        <f>RESUMO!D7</f>
        <v>2</v>
      </c>
    </row>
    <row r="14" spans="1:4">
      <c r="A14" s="112"/>
      <c r="B14" s="112"/>
      <c r="C14" s="104"/>
      <c r="D14" s="113"/>
    </row>
    <row r="15" ht="15.15" spans="1:7">
      <c r="A15" s="107" t="s">
        <v>14</v>
      </c>
      <c r="B15" s="107"/>
      <c r="C15" s="107"/>
      <c r="D15" s="107"/>
      <c r="F15" s="114"/>
      <c r="G15" s="114"/>
    </row>
    <row r="16" ht="15.1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Alfabetizador de Jovens e Adultos</v>
      </c>
    </row>
    <row r="18" spans="1:4">
      <c r="A18" s="115">
        <v>2</v>
      </c>
      <c r="B18" t="s">
        <v>23</v>
      </c>
      <c r="C18" s="116" t="s">
        <v>196</v>
      </c>
      <c r="D18" s="116" t="s">
        <v>243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15" spans="4:7">
      <c r="D40" s="123"/>
      <c r="F40" s="126"/>
      <c r="G40" s="126"/>
    </row>
    <row r="41" ht="15.9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5.9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5.9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1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f>TRUNC(((22*4.9)*2)-((D25/100)*6),2)</f>
        <v>33.38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498.38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498.38</v>
      </c>
    </row>
    <row r="73" spans="1:4">
      <c r="A73" s="115" t="s">
        <v>58</v>
      </c>
      <c r="C73" s="115"/>
      <c r="D73" s="123">
        <f>TRUNC((SUM(D70:D72)),2)</f>
        <v>2532.56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28.8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15" spans="1:4">
      <c r="A84" s="115"/>
      <c r="D84" s="123"/>
    </row>
    <row r="85" ht="15.9" spans="1:4">
      <c r="A85" s="127" t="s">
        <v>211</v>
      </c>
      <c r="B85" s="127"/>
      <c r="C85" s="128" t="s">
        <v>202</v>
      </c>
      <c r="D85" s="129">
        <f>D31</f>
        <v>3036.91</v>
      </c>
    </row>
    <row r="86" ht="15.9" spans="1:4">
      <c r="A86" s="127"/>
      <c r="B86" s="127"/>
      <c r="C86" s="130" t="s">
        <v>212</v>
      </c>
      <c r="D86" s="129">
        <f>D73</f>
        <v>2532.56</v>
      </c>
    </row>
    <row r="87" ht="15.9" spans="1:4">
      <c r="A87" s="127"/>
      <c r="B87" s="127"/>
      <c r="C87" s="128" t="s">
        <v>213</v>
      </c>
      <c r="D87" s="129">
        <f>D83</f>
        <v>183.53</v>
      </c>
    </row>
    <row r="88" ht="15.9" spans="1:4">
      <c r="A88" s="127"/>
      <c r="B88" s="127"/>
      <c r="C88" s="130" t="s">
        <v>204</v>
      </c>
      <c r="D88" s="131">
        <f>TRUNC((SUM(D85:D87)),2)</f>
        <v>5753</v>
      </c>
    </row>
    <row r="89" ht="15.1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93.21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79.9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1.59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19.17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6.39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200.26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86.4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200.26</v>
      </c>
    </row>
    <row r="109" spans="1:4">
      <c r="A109" s="115" t="s">
        <v>145</v>
      </c>
      <c r="B109" t="s">
        <v>151</v>
      </c>
      <c r="C109" s="120"/>
      <c r="D109" s="152" t="str">
        <f>Submódulo4.260_551078475[[#Totals],[Valor]]</f>
        <v>*=TRUNCAR(($D$86/220)*(1*(365/12))/2)</v>
      </c>
    </row>
    <row r="110" ht="72" spans="1:4">
      <c r="A110" s="135" t="s">
        <v>58</v>
      </c>
      <c r="B110" s="136"/>
      <c r="C110" s="148" t="s">
        <v>218</v>
      </c>
      <c r="D110" s="153">
        <f>TRUNC((SUM(D108:D109)),2)</f>
        <v>200.26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241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SUBTOTAL(109,Módulo562_581168170[Valor])</f>
        <v>109.98</v>
      </c>
    </row>
    <row r="120" ht="15.15"/>
    <row r="121" ht="15.9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5.9" spans="1:4">
      <c r="A122" s="127"/>
      <c r="B122" s="127"/>
      <c r="C122" s="130" t="s">
        <v>212</v>
      </c>
      <c r="D122" s="129">
        <f>D73</f>
        <v>2532.56</v>
      </c>
    </row>
    <row r="123" ht="15.9" spans="1:4">
      <c r="A123" s="127"/>
      <c r="B123" s="127"/>
      <c r="C123" s="128" t="s">
        <v>213</v>
      </c>
      <c r="D123" s="129">
        <f>D83</f>
        <v>183.53</v>
      </c>
    </row>
    <row r="124" ht="15.9" spans="1:4">
      <c r="A124" s="127"/>
      <c r="B124" s="127"/>
      <c r="C124" s="130" t="s">
        <v>222</v>
      </c>
      <c r="D124" s="129">
        <f>D110</f>
        <v>200.26</v>
      </c>
    </row>
    <row r="125" ht="15.9" spans="1:4">
      <c r="A125" s="127"/>
      <c r="B125" s="127"/>
      <c r="C125" s="128" t="s">
        <v>223</v>
      </c>
      <c r="D125" s="129">
        <f>D119</f>
        <v>109.98</v>
      </c>
    </row>
    <row r="126" ht="15.9" spans="1:4">
      <c r="A126" s="127"/>
      <c r="B126" s="127"/>
      <c r="C126" s="130" t="s">
        <v>204</v>
      </c>
      <c r="D126" s="131">
        <f>TRUNC((SUM(D121:D125)),2)</f>
        <v>6063.24</v>
      </c>
    </row>
    <row r="127" ht="15.15"/>
    <row r="128" spans="1:4">
      <c r="A128" s="98" t="s">
        <v>164</v>
      </c>
      <c r="B128" s="98"/>
      <c r="C128" s="98"/>
      <c r="D128" s="98"/>
    </row>
    <row r="129" ht="15.1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15" spans="1:7">
      <c r="A130" s="115" t="s">
        <v>42</v>
      </c>
      <c r="B130" t="s">
        <v>167</v>
      </c>
      <c r="C130" s="156">
        <v>0.05</v>
      </c>
      <c r="D130" s="154">
        <f>TRUNC(($D$126*C130),2)</f>
        <v>303.16</v>
      </c>
      <c r="F130" s="157" t="s">
        <v>225</v>
      </c>
      <c r="G130" s="141">
        <f>C132</f>
        <v>0.0865</v>
      </c>
    </row>
    <row r="131" ht="15.15" spans="1:7">
      <c r="A131" s="115" t="s">
        <v>45</v>
      </c>
      <c r="B131" t="s">
        <v>59</v>
      </c>
      <c r="C131" s="156">
        <v>0.07</v>
      </c>
      <c r="D131" s="154">
        <f>TRUNC((C131*(D126+D130)),2)</f>
        <v>445.64</v>
      </c>
      <c r="F131" s="158" t="s">
        <v>226</v>
      </c>
      <c r="G131" s="159">
        <f>TRUNC(SUM(D126,D130,D131),2)</f>
        <v>6812.04</v>
      </c>
    </row>
    <row r="132" ht="15.1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645.03</v>
      </c>
      <c r="F132" s="157" t="s">
        <v>227</v>
      </c>
      <c r="G132" s="160">
        <f>(100-8.65)/100</f>
        <v>0.9135</v>
      </c>
    </row>
    <row r="133" ht="15.15" spans="1:7">
      <c r="A133" s="115"/>
      <c r="B133" t="s">
        <v>228</v>
      </c>
      <c r="C133" s="133">
        <v>0.0065</v>
      </c>
      <c r="D133" s="117">
        <f t="shared" ref="D133:D135" si="3">TRUNC(($G$133*C133),2)</f>
        <v>48.47</v>
      </c>
      <c r="F133" s="158" t="s">
        <v>224</v>
      </c>
      <c r="G133" s="159">
        <f>TRUNC((G131/G132),2)</f>
        <v>7457.07</v>
      </c>
    </row>
    <row r="134" ht="15.15" spans="1:4">
      <c r="A134" s="115"/>
      <c r="B134" t="s">
        <v>229</v>
      </c>
      <c r="C134" s="133">
        <v>0.03</v>
      </c>
      <c r="D134" s="117">
        <f t="shared" si="3"/>
        <v>223.71</v>
      </c>
    </row>
    <row r="135" spans="1:4">
      <c r="A135" s="115"/>
      <c r="B135" t="s">
        <v>230</v>
      </c>
      <c r="C135" s="133">
        <v>0.05</v>
      </c>
      <c r="D135" s="117">
        <f t="shared" si="3"/>
        <v>372.85</v>
      </c>
    </row>
    <row r="136" spans="1:4">
      <c r="A136" s="115" t="s">
        <v>58</v>
      </c>
      <c r="B136" s="161"/>
      <c r="C136" s="162"/>
      <c r="D136" s="123">
        <f>SUM(D130:D132)</f>
        <v>1393.83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2532.56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200.26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6063.24</v>
      </c>
    </row>
    <row r="147" spans="1:4">
      <c r="A147" s="115" t="s">
        <v>55</v>
      </c>
      <c r="B147" t="s">
        <v>164</v>
      </c>
      <c r="D147" s="123">
        <f>D136</f>
        <v>1393.83</v>
      </c>
    </row>
    <row r="148" spans="1:4">
      <c r="A148" s="164"/>
      <c r="B148" s="165" t="s">
        <v>231</v>
      </c>
      <c r="C148" s="164"/>
      <c r="D148" s="166">
        <f>TRUNC((SUM(D141:D145)+D147),2)</f>
        <v>7457.07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50" workbookViewId="0">
      <selection activeCell="G79" sqref="G79"/>
    </sheetView>
  </sheetViews>
  <sheetFormatPr defaultColWidth="9.13888888888889" defaultRowHeight="14.4" outlineLevelCol="6"/>
  <cols>
    <col min="1" max="1" width="13.1388888888889" customWidth="1"/>
    <col min="2" max="2" width="47.5740740740741" customWidth="1"/>
    <col min="3" max="3" width="27.712962962963" customWidth="1"/>
    <col min="4" max="4" width="36.287037037037" customWidth="1"/>
    <col min="6" max="6" width="22.8611111111111" customWidth="1"/>
    <col min="7" max="7" width="11.4259259259259" customWidth="1"/>
  </cols>
  <sheetData>
    <row r="2" ht="18.75" spans="1:4">
      <c r="A2" s="91" t="s">
        <v>177</v>
      </c>
      <c r="B2" s="91"/>
      <c r="C2" s="91"/>
      <c r="D2" s="91"/>
    </row>
    <row r="3" ht="15.1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15" spans="1:4">
      <c r="A6" s="98" t="s">
        <v>181</v>
      </c>
      <c r="B6" s="98"/>
      <c r="C6" s="98"/>
      <c r="D6" s="98"/>
    </row>
    <row r="7" ht="15.1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15" spans="1:4">
      <c r="A11" s="107" t="s">
        <v>190</v>
      </c>
      <c r="B11" s="107"/>
      <c r="C11" s="107"/>
      <c r="D11" s="107"/>
    </row>
    <row r="12" ht="15.9" spans="1:4">
      <c r="A12" s="108" t="s">
        <v>191</v>
      </c>
      <c r="B12" s="108"/>
      <c r="C12" s="107" t="s">
        <v>192</v>
      </c>
      <c r="D12" s="109" t="s">
        <v>193</v>
      </c>
    </row>
    <row r="13" ht="15.15" spans="1:4">
      <c r="A13" s="110" t="s">
        <v>244</v>
      </c>
      <c r="B13" s="110"/>
      <c r="C13" s="104" t="s">
        <v>233</v>
      </c>
      <c r="D13" s="111">
        <f>RESUMO!D8</f>
        <v>2</v>
      </c>
    </row>
    <row r="14" spans="1:4">
      <c r="A14" s="112"/>
      <c r="B14" s="112"/>
      <c r="C14" s="104"/>
      <c r="D14" s="113"/>
    </row>
    <row r="15" ht="15.15" spans="1:7">
      <c r="A15" s="107" t="s">
        <v>14</v>
      </c>
      <c r="B15" s="107"/>
      <c r="C15" s="107"/>
      <c r="D15" s="107"/>
      <c r="F15" s="114"/>
      <c r="G15" s="114"/>
    </row>
    <row r="16" ht="15.1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Psicopedagogo Educacional</v>
      </c>
    </row>
    <row r="18" spans="1:4">
      <c r="A18" s="115">
        <v>2</v>
      </c>
      <c r="B18" t="s">
        <v>23</v>
      </c>
      <c r="C18" s="116" t="s">
        <v>196</v>
      </c>
      <c r="D18" s="116" t="s">
        <v>243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15" spans="4:7">
      <c r="D40" s="123"/>
      <c r="F40" s="126"/>
      <c r="G40" s="126"/>
    </row>
    <row r="41" ht="15.9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5.9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5.9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1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f>TRUNC(((22*4.9)*2)-((D25/100)*6),2)</f>
        <v>33.38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498.38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498.38</v>
      </c>
    </row>
    <row r="73" spans="1:4">
      <c r="A73" s="115" t="s">
        <v>58</v>
      </c>
      <c r="C73" s="115"/>
      <c r="D73" s="123">
        <f>TRUNC((SUM(D70:D72)),2)</f>
        <v>2532.56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ht="28.8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28.8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ht="28.8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15" spans="1:4">
      <c r="A84" s="115"/>
      <c r="D84" s="123"/>
    </row>
    <row r="85" ht="15.9" spans="1:4">
      <c r="A85" s="127" t="s">
        <v>211</v>
      </c>
      <c r="B85" s="127"/>
      <c r="C85" s="128" t="s">
        <v>202</v>
      </c>
      <c r="D85" s="129">
        <f>D31</f>
        <v>3036.91</v>
      </c>
    </row>
    <row r="86" ht="15.9" spans="1:4">
      <c r="A86" s="127"/>
      <c r="B86" s="127"/>
      <c r="C86" s="130" t="s">
        <v>212</v>
      </c>
      <c r="D86" s="129">
        <f>D73</f>
        <v>2532.56</v>
      </c>
    </row>
    <row r="87" ht="15.9" spans="1:4">
      <c r="A87" s="127"/>
      <c r="B87" s="127"/>
      <c r="C87" s="128" t="s">
        <v>213</v>
      </c>
      <c r="D87" s="129">
        <f>D83</f>
        <v>183.53</v>
      </c>
    </row>
    <row r="88" ht="15.9" spans="1:4">
      <c r="A88" s="127"/>
      <c r="B88" s="127"/>
      <c r="C88" s="130" t="s">
        <v>204</v>
      </c>
      <c r="D88" s="131">
        <f>TRUNC((SUM(D85:D87)),2)</f>
        <v>5753</v>
      </c>
    </row>
    <row r="89" ht="15.1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93.21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79.9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1.59</v>
      </c>
    </row>
    <row r="96" ht="28.8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19.17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6.39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200.26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86.4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200.26</v>
      </c>
    </row>
    <row r="109" spans="1:4">
      <c r="A109" s="115" t="s">
        <v>145</v>
      </c>
      <c r="B109" t="s">
        <v>151</v>
      </c>
      <c r="C109" s="120"/>
      <c r="D109" s="152" t="str">
        <f>Submódulo4.260_5510784[[#Totals],[Valor]]</f>
        <v>*=TRUNCAR(($D$86/220)*(1*(365/12))/2)</v>
      </c>
    </row>
    <row r="110" ht="57.6" spans="1:4">
      <c r="A110" s="135" t="s">
        <v>58</v>
      </c>
      <c r="B110" s="136"/>
      <c r="C110" s="148" t="s">
        <v>218</v>
      </c>
      <c r="D110" s="153">
        <f>TRUNC((SUM(D108:D109)),2)</f>
        <v>200.26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241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SUBTOTAL(109,Módulo562_5811681[Valor])</f>
        <v>109.98</v>
      </c>
    </row>
    <row r="120" ht="15.15"/>
    <row r="121" ht="15.9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5.9" spans="1:4">
      <c r="A122" s="127"/>
      <c r="B122" s="127"/>
      <c r="C122" s="130" t="s">
        <v>212</v>
      </c>
      <c r="D122" s="129">
        <f>D73</f>
        <v>2532.56</v>
      </c>
    </row>
    <row r="123" ht="15.9" spans="1:4">
      <c r="A123" s="127"/>
      <c r="B123" s="127"/>
      <c r="C123" s="128" t="s">
        <v>213</v>
      </c>
      <c r="D123" s="129">
        <f>D83</f>
        <v>183.53</v>
      </c>
    </row>
    <row r="124" ht="15.9" spans="1:4">
      <c r="A124" s="127"/>
      <c r="B124" s="127"/>
      <c r="C124" s="130" t="s">
        <v>222</v>
      </c>
      <c r="D124" s="129">
        <f>D110</f>
        <v>200.26</v>
      </c>
    </row>
    <row r="125" ht="15.9" spans="1:4">
      <c r="A125" s="127"/>
      <c r="B125" s="127"/>
      <c r="C125" s="128" t="s">
        <v>223</v>
      </c>
      <c r="D125" s="129">
        <f>D119</f>
        <v>109.98</v>
      </c>
    </row>
    <row r="126" ht="15.9" spans="1:4">
      <c r="A126" s="127"/>
      <c r="B126" s="127"/>
      <c r="C126" s="130" t="s">
        <v>204</v>
      </c>
      <c r="D126" s="131">
        <f>TRUNC((SUM(D121:D125)),2)</f>
        <v>6063.24</v>
      </c>
    </row>
    <row r="127" ht="15.15"/>
    <row r="128" spans="1:4">
      <c r="A128" s="98" t="s">
        <v>164</v>
      </c>
      <c r="B128" s="98"/>
      <c r="C128" s="98"/>
      <c r="D128" s="98"/>
    </row>
    <row r="129" ht="15.1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15" spans="1:7">
      <c r="A130" s="115" t="s">
        <v>42</v>
      </c>
      <c r="B130" t="s">
        <v>167</v>
      </c>
      <c r="C130" s="156">
        <v>0.05</v>
      </c>
      <c r="D130" s="154">
        <f>TRUNC(($D$126*C130),2)</f>
        <v>303.16</v>
      </c>
      <c r="F130" s="157" t="s">
        <v>225</v>
      </c>
      <c r="G130" s="141">
        <f>C132</f>
        <v>0.0865</v>
      </c>
    </row>
    <row r="131" ht="15.15" spans="1:7">
      <c r="A131" s="115" t="s">
        <v>45</v>
      </c>
      <c r="B131" t="s">
        <v>59</v>
      </c>
      <c r="C131" s="156">
        <v>0.07</v>
      </c>
      <c r="D131" s="154">
        <f>TRUNC((C131*(D126+D130)),2)</f>
        <v>445.64</v>
      </c>
      <c r="F131" s="158" t="s">
        <v>226</v>
      </c>
      <c r="G131" s="159">
        <f>TRUNC(SUM(D126,D130,D131),2)</f>
        <v>6812.04</v>
      </c>
    </row>
    <row r="132" ht="15.1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645.03</v>
      </c>
      <c r="F132" s="157" t="s">
        <v>227</v>
      </c>
      <c r="G132" s="160">
        <f>(100-8.65)/100</f>
        <v>0.9135</v>
      </c>
    </row>
    <row r="133" ht="15.15" spans="1:7">
      <c r="A133" s="115"/>
      <c r="B133" t="s">
        <v>228</v>
      </c>
      <c r="C133" s="133">
        <v>0.0065</v>
      </c>
      <c r="D133" s="117">
        <f t="shared" ref="D133:D135" si="3">TRUNC(($G$133*C133),2)</f>
        <v>48.47</v>
      </c>
      <c r="F133" s="158" t="s">
        <v>224</v>
      </c>
      <c r="G133" s="159">
        <f>TRUNC((G131/G132),2)</f>
        <v>7457.07</v>
      </c>
    </row>
    <row r="134" ht="15.15" spans="1:4">
      <c r="A134" s="115"/>
      <c r="B134" t="s">
        <v>229</v>
      </c>
      <c r="C134" s="133">
        <v>0.03</v>
      </c>
      <c r="D134" s="117">
        <f t="shared" si="3"/>
        <v>223.71</v>
      </c>
    </row>
    <row r="135" spans="1:4">
      <c r="A135" s="115"/>
      <c r="B135" t="s">
        <v>230</v>
      </c>
      <c r="C135" s="133">
        <v>0.05</v>
      </c>
      <c r="D135" s="117">
        <f t="shared" si="3"/>
        <v>372.85</v>
      </c>
    </row>
    <row r="136" spans="1:4">
      <c r="A136" s="115" t="s">
        <v>58</v>
      </c>
      <c r="B136" s="161"/>
      <c r="C136" s="162"/>
      <c r="D136" s="123">
        <f>SUM(D130:D132)</f>
        <v>1393.83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2532.56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200.26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6063.24</v>
      </c>
    </row>
    <row r="147" spans="1:4">
      <c r="A147" s="115" t="s">
        <v>55</v>
      </c>
      <c r="B147" t="s">
        <v>164</v>
      </c>
      <c r="D147" s="123">
        <f>D136</f>
        <v>1393.83</v>
      </c>
    </row>
    <row r="148" spans="1:4">
      <c r="A148" s="164"/>
      <c r="B148" s="165" t="s">
        <v>231</v>
      </c>
      <c r="C148" s="164"/>
      <c r="D148" s="166">
        <f>TRUNC((SUM(D141:D145)+D147),2)</f>
        <v>7457.07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L17" sqref="L17"/>
    </sheetView>
  </sheetViews>
  <sheetFormatPr defaultColWidth="9.13888888888889" defaultRowHeight="14.4" outlineLevelCol="7"/>
  <cols>
    <col min="2" max="2" width="13.1574074074074" style="72" customWidth="1"/>
    <col min="3" max="3" width="39.3611111111111" customWidth="1"/>
    <col min="4" max="4" width="13.4537037037037" style="73" customWidth="1"/>
    <col min="5" max="5" width="9.71296296296296" customWidth="1"/>
    <col min="6" max="6" width="14.5648148148148" customWidth="1"/>
    <col min="7" max="7" width="14.0740740740741" customWidth="1"/>
    <col min="8" max="8" width="15.0555555555556" customWidth="1"/>
  </cols>
  <sheetData>
    <row r="2" spans="1:8">
      <c r="A2" s="74" t="s">
        <v>245</v>
      </c>
      <c r="B2" s="75"/>
      <c r="C2" s="74"/>
      <c r="D2" s="76"/>
      <c r="E2" s="74"/>
      <c r="F2" s="74"/>
      <c r="G2" s="74"/>
      <c r="H2" s="74"/>
    </row>
    <row r="3" spans="1:8">
      <c r="A3" s="77" t="s">
        <v>246</v>
      </c>
      <c r="B3" s="78"/>
      <c r="C3" s="77"/>
      <c r="D3" s="79"/>
      <c r="E3" s="77"/>
      <c r="F3" s="77"/>
      <c r="G3" s="77"/>
      <c r="H3" s="77"/>
    </row>
    <row r="4" ht="57.6" spans="1:8">
      <c r="A4" s="80" t="s">
        <v>247</v>
      </c>
      <c r="B4" s="80" t="s">
        <v>248</v>
      </c>
      <c r="C4" s="80" t="s">
        <v>249</v>
      </c>
      <c r="D4" s="80" t="s">
        <v>250</v>
      </c>
      <c r="E4" s="80" t="s">
        <v>251</v>
      </c>
      <c r="F4" s="80" t="s">
        <v>252</v>
      </c>
      <c r="G4" s="80" t="s">
        <v>253</v>
      </c>
      <c r="H4" s="80" t="s">
        <v>254</v>
      </c>
    </row>
    <row r="5" ht="27.6" spans="1:8">
      <c r="A5" s="81">
        <v>1</v>
      </c>
      <c r="B5" s="82" t="s">
        <v>255</v>
      </c>
      <c r="C5" s="83" t="s">
        <v>256</v>
      </c>
      <c r="D5" s="82" t="s">
        <v>257</v>
      </c>
      <c r="E5" s="84">
        <v>54.4</v>
      </c>
      <c r="F5" s="82">
        <v>4</v>
      </c>
      <c r="G5" s="85">
        <f t="shared" ref="G5:G11" si="0">TRUNC(F5*E5,2)</f>
        <v>217.6</v>
      </c>
      <c r="H5" s="85">
        <f>TRUNC(G5/12,2)</f>
        <v>18.13</v>
      </c>
    </row>
    <row r="6" ht="41.4" spans="1:8">
      <c r="A6" s="81">
        <v>2</v>
      </c>
      <c r="B6" s="82" t="s">
        <v>258</v>
      </c>
      <c r="C6" s="83" t="s">
        <v>259</v>
      </c>
      <c r="D6" s="82" t="s">
        <v>257</v>
      </c>
      <c r="E6" s="84">
        <v>94.53</v>
      </c>
      <c r="F6" s="82">
        <v>2</v>
      </c>
      <c r="G6" s="85">
        <f t="shared" si="0"/>
        <v>189.06</v>
      </c>
      <c r="H6" s="85">
        <f t="shared" ref="H6:H11" si="1">TRUNC(G6/12,2)</f>
        <v>15.75</v>
      </c>
    </row>
    <row r="7" ht="55.2" spans="1:8">
      <c r="A7" s="81">
        <v>3</v>
      </c>
      <c r="B7" s="82" t="s">
        <v>260</v>
      </c>
      <c r="C7" s="83" t="s">
        <v>261</v>
      </c>
      <c r="D7" s="82" t="s">
        <v>257</v>
      </c>
      <c r="E7" s="84">
        <v>68.51</v>
      </c>
      <c r="F7" s="82">
        <v>4</v>
      </c>
      <c r="G7" s="85">
        <f t="shared" si="0"/>
        <v>274.04</v>
      </c>
      <c r="H7" s="85">
        <f t="shared" si="1"/>
        <v>22.83</v>
      </c>
    </row>
    <row r="8" ht="55.2" spans="1:8">
      <c r="A8" s="81">
        <v>4</v>
      </c>
      <c r="B8" s="82" t="s">
        <v>260</v>
      </c>
      <c r="C8" s="83" t="s">
        <v>262</v>
      </c>
      <c r="D8" s="82" t="s">
        <v>257</v>
      </c>
      <c r="E8" s="84">
        <v>61.42</v>
      </c>
      <c r="F8" s="82">
        <v>4</v>
      </c>
      <c r="G8" s="85">
        <f t="shared" si="0"/>
        <v>245.68</v>
      </c>
      <c r="H8" s="85">
        <f t="shared" si="1"/>
        <v>20.47</v>
      </c>
    </row>
    <row r="9" ht="27.6" spans="1:8">
      <c r="A9" s="81">
        <v>5</v>
      </c>
      <c r="B9" s="82" t="s">
        <v>263</v>
      </c>
      <c r="C9" s="83" t="s">
        <v>264</v>
      </c>
      <c r="D9" s="82" t="s">
        <v>265</v>
      </c>
      <c r="E9" s="84">
        <v>122.1</v>
      </c>
      <c r="F9" s="82">
        <v>2</v>
      </c>
      <c r="G9" s="85">
        <f t="shared" si="0"/>
        <v>244.2</v>
      </c>
      <c r="H9" s="85">
        <f t="shared" si="1"/>
        <v>20.35</v>
      </c>
    </row>
    <row r="10" ht="41.4" spans="1:8">
      <c r="A10" s="81">
        <v>6</v>
      </c>
      <c r="B10" s="82" t="s">
        <v>266</v>
      </c>
      <c r="C10" s="83" t="s">
        <v>267</v>
      </c>
      <c r="D10" s="82" t="s">
        <v>265</v>
      </c>
      <c r="E10" s="84">
        <v>35.18</v>
      </c>
      <c r="F10" s="82">
        <v>4</v>
      </c>
      <c r="G10" s="85">
        <f t="shared" si="0"/>
        <v>140.72</v>
      </c>
      <c r="H10" s="85">
        <f t="shared" si="1"/>
        <v>11.72</v>
      </c>
    </row>
    <row r="11" ht="41.4" spans="1:8">
      <c r="A11" s="81">
        <v>7</v>
      </c>
      <c r="B11" s="82" t="s">
        <v>268</v>
      </c>
      <c r="C11" s="83" t="s">
        <v>269</v>
      </c>
      <c r="D11" s="82" t="s">
        <v>257</v>
      </c>
      <c r="E11" s="84">
        <v>8.77</v>
      </c>
      <c r="F11" s="82">
        <v>1</v>
      </c>
      <c r="G11" s="85">
        <f t="shared" si="0"/>
        <v>8.77</v>
      </c>
      <c r="H11" s="85">
        <f t="shared" si="1"/>
        <v>0.73</v>
      </c>
    </row>
    <row r="12" spans="1:8">
      <c r="A12" s="86" t="s">
        <v>204</v>
      </c>
      <c r="B12" s="86"/>
      <c r="C12" s="86"/>
      <c r="D12" s="86"/>
      <c r="E12" s="86"/>
      <c r="F12" s="86"/>
      <c r="G12" s="87">
        <f>TRUNC(SUM(H5:H11),2)</f>
        <v>109.98</v>
      </c>
      <c r="H12" s="87"/>
    </row>
    <row r="13" spans="1:8">
      <c r="A13" s="88"/>
      <c r="B13" s="89"/>
      <c r="C13" s="88"/>
      <c r="D13" s="90"/>
      <c r="E13" s="88"/>
      <c r="F13" s="88"/>
      <c r="G13" s="88"/>
      <c r="H13" s="88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Orientações</vt:lpstr>
      <vt:lpstr>Servente</vt:lpstr>
      <vt:lpstr>Tradutor-Intérprete</vt:lpstr>
      <vt:lpstr>Transcritor Braille</vt:lpstr>
      <vt:lpstr>Cuidador</vt:lpstr>
      <vt:lpstr>Audiodescritor</vt:lpstr>
      <vt:lpstr>Alfabetizador</vt:lpstr>
      <vt:lpstr>Psicopedagogo</vt:lpstr>
      <vt:lpstr>Uniformes</vt:lpstr>
      <vt:lpstr>Diárias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Carlos Diêgo dos Santos Carva</cp:lastModifiedBy>
  <cp:revision>3</cp:revision>
  <dcterms:created xsi:type="dcterms:W3CDTF">2019-02-19T21:25:00Z</dcterms:created>
  <cp:lastPrinted>2020-02-20T19:26:00Z</cp:lastPrinted>
  <dcterms:modified xsi:type="dcterms:W3CDTF">2023-11-26T19:15:49Z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1046-12.2.0.13306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